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workbookProtection workbookPassword="DF03" lockStructure="1"/>
  <bookViews>
    <workbookView xWindow="14385" yWindow="285" windowWidth="9720" windowHeight="8325"/>
  </bookViews>
  <sheets>
    <sheet name="Combined" sheetId="13" r:id="rId1"/>
    <sheet name="FundBalances" sheetId="17" r:id="rId2"/>
    <sheet name="Income Estimates" sheetId="14" r:id="rId3"/>
    <sheet name="Purchase Building" sheetId="15" r:id="rId4"/>
    <sheet name="Facilities" sheetId="9" r:id="rId5"/>
    <sheet name="SharedStaff" sheetId="5" r:id="rId6"/>
    <sheet name="TotalStaffSummary" sheetId="16" r:id="rId7"/>
    <sheet name="BACare" sheetId="3" r:id="rId8"/>
    <sheet name="PPAJr-StartUp" sheetId="18" r:id="rId9"/>
    <sheet name="PPAJr-Staff" sheetId="7" r:id="rId10"/>
    <sheet name="PPAJr-General" sheetId="12" r:id="rId11"/>
    <sheet name="PPAJr-Budget" sheetId="8" r:id="rId12"/>
    <sheet name="PPA-Staff" sheetId="4" r:id="rId13"/>
    <sheet name="PPA-General" sheetId="6" r:id="rId14"/>
    <sheet name="PPA-Budget" sheetId="2" r:id="rId15"/>
    <sheet name="Salary Schedules" sheetId="1" r:id="rId16"/>
  </sheets>
  <definedNames>
    <definedName name="CAP" hidden="1">{#N/A,#N/A,FALSE,"Summation";#N/A,#N/A,FALSE,"BSA";#N/A,#N/A,FALSE,"Detail1";#N/A,#N/A,FALSE,"Detail2";#N/A,#N/A,FALSE,"Detail3";#N/A,#N/A,FALSE,"WFTE_Summary";#N/A,#N/A,FALSE,"Funded_WFTE";#N/A,#N/A,FALSE,"PYADJ96"}</definedName>
    <definedName name="HTML_CodePage" hidden="1">1252</definedName>
    <definedName name="HTML_Control" hidden="1">{"'AssumptionsHTML'!$B$9:$E$357","'SummationHTML'!$A$4:$J$93","'Difference'!$A$11:$K$101","'DifferenceFTE'!$A$11:$K$101","'Detail1'!$A$11:$I$97","'Detail2'!$A$11:$J$97","'Detail3'!$A$11:$J$97","'Categorical1'!$A$11:$L$97"}</definedName>
    <definedName name="HTML_Description" hidden="1">""</definedName>
    <definedName name="HTML_Email" hidden="1">""</definedName>
    <definedName name="HTML_Header" hidden="1">""</definedName>
    <definedName name="HTML_LastUpdate" hidden="1">"9/4/97"</definedName>
    <definedName name="HTML_LineAfter" hidden="1">FALSE</definedName>
    <definedName name="HTML_LineBefore" hidden="1">FALSE</definedName>
    <definedName name="HTML_Name" hidden="1">"David Montford"</definedName>
    <definedName name="HTML_OBDlg2" hidden="1">TRUE</definedName>
    <definedName name="HTML_OBDlg4" hidden="1">TRUE</definedName>
    <definedName name="HTML_OS" hidden="1">0</definedName>
    <definedName name="HTML_PathFile" hidden="1">"H:\XLFILES\test.htm"</definedName>
    <definedName name="HTML_Title" hidden="1">""</definedName>
    <definedName name="PRACTICE" hidden="1">{#N/A,#N/A,FALSE,"Summation";#N/A,#N/A,FALSE,"BSA";#N/A,#N/A,FALSE,"Detail1";#N/A,#N/A,FALSE,"Detail2";#N/A,#N/A,FALSE,"Detail3";#N/A,#N/A,FALSE,"WFTE_Summary";#N/A,#N/A,FALSE,"Funded_WFTE";#N/A,#N/A,FALSE,"PYADJ96"}</definedName>
    <definedName name="PRACTOCE" hidden="1">{#N/A,#N/A,FALSE,"Summation";#N/A,#N/A,FALSE,"BSA";#N/A,#N/A,FALSE,"Detail1";#N/A,#N/A,FALSE,"Detail2";#N/A,#N/A,FALSE,"Detail3";#N/A,#N/A,FALSE,"WFTE_Summary";#N/A,#N/A,FALSE,"Funded_WFTE";#N/A,#N/A,FALSE,"PYADJ96"}</definedName>
    <definedName name="_xlnm.Print_Area" localSheetId="4">Facilities!$A$1:$I$176</definedName>
    <definedName name="_xlnm.Print_Area" localSheetId="3">'Purchase Building'!$A$1:$H$78</definedName>
    <definedName name="_xlnm.Print_Area" localSheetId="15">'Salary Schedules'!$A$1:$M$98</definedName>
    <definedName name="wrn.Base._.Data._.Comparison." hidden="1">{#N/A,#N/A,FALSE,"Summation";#N/A,#N/A,FALSE,"BSA";#N/A,#N/A,FALSE,"Detail1";#N/A,#N/A,FALSE,"Detail2";#N/A,#N/A,FALSE,"Detail3";#N/A,#N/A,FALSE,"WFTE_Summary";#N/A,#N/A,FALSE,"Funded_WFTE";#N/A,#N/A,FALSE,"PYADJ96"}</definedName>
    <definedName name="wrn.SecondCalc9798." hidden="1">{#N/A,#N/A,FALSE,"Cover";#N/A,#N/A,FALSE,"Contents";#N/A,#N/A,FALSE,"BSA";#N/A,#N/A,FALSE,"Detail1";#N/A,#N/A,FALSE,"Detail2";#N/A,#N/A,FALSE,"NewPCF";#N/A,#N/A,FALSE,"Lottery";#N/A,#N/A,FALSE,"DeclineFTE";#N/A,#N/A,FALSE,"Sparsity1";#N/A,#N/A,FALSE,"Sparsity2";#N/A,#N/A,FALSE,"Labs";#N/A,#N/A,FALSE,"Safe_Hou";#N/A,#N/A,FALSE,"PerformanceSupplement";#N/A,#N/A,FALSE,"Math1";#N/A,#N/A,FALSE,"Math23";#N/A,#N/A,FALSE,"Lang1";#N/A,#N/A,FALSE,"Lang23";#N/A,#N/A,FALSE,"Dropout";#N/A,#N/A,FALSE,"remred";#N/A,#N/A,FALSE,"Dropout2";#N/A,#N/A,FALSE,"MinimumPY1";#N/A,#N/A,FALSE,"MinimumPY4";#N/A,#N/A,FALSE,"MinimumPY2";#N/A,#N/A,FALSE,"MinimumPY5";#N/A,#N/A,FALSE,"MinimumCY1";#N/A,#N/A,FALSE,"MinimumCY2";#N/A,#N/A,FALSE,"MinimumCY3";#N/A,#N/A,FALSE,"MinimumCY4";#N/A,#N/A,FALSE,"MinGuarantee";#N/A,#N/A,FALSE,"MinPercent";#N/A,#N/A,FALSE,"Compression1";#N/A,#N/A,FALSE,"Compression2";#N/A,#N/A,FALSE,"Compression3";#N/A,#N/A,FALSE,"Compression4";#N/A,#N/A,FALSE,"Equalize1";#N/A,#N/A,FALSE,"AdditionalMills1";#N/A,#N/A,FALSE,"AdditionalMills2";#N/A,#N/A,FALSE,"Mills";#N/A,#N/A,FALSE,"LRE";#N/A,#N/A,FALSE,"Addon";#N/A,#N/A,FALSE,"FTESUMM";#N/A,#N/A,FALSE,"FTE2";#N/A,#N/A,FALSE,"BaseData";#N/A,#N/A,FALSE,"WFTE2";#N/A,#N/A,FALSE,"Nonvoted"}</definedName>
  </definedNames>
  <calcPr calcId="144525"/>
</workbook>
</file>

<file path=xl/calcChain.xml><?xml version="1.0" encoding="utf-8"?>
<calcChain xmlns="http://schemas.openxmlformats.org/spreadsheetml/2006/main">
  <c r="J20" i="17" l="1"/>
  <c r="N5" i="18" l="1"/>
  <c r="K6" i="18"/>
  <c r="J65" i="18"/>
  <c r="N62" i="18"/>
  <c r="H62" i="18" s="1"/>
  <c r="H61" i="18" s="1"/>
  <c r="G65" i="18" s="1"/>
  <c r="H6" i="18" s="1"/>
  <c r="C144" i="7"/>
  <c r="K62" i="18"/>
  <c r="K61" i="18"/>
  <c r="N58" i="18"/>
  <c r="K58" i="18"/>
  <c r="H58" i="18"/>
  <c r="N53" i="18"/>
  <c r="K53" i="18"/>
  <c r="H53" i="18"/>
  <c r="N50" i="18"/>
  <c r="K50" i="18"/>
  <c r="H50" i="18"/>
  <c r="N17" i="18"/>
  <c r="H17" i="18"/>
  <c r="K17" i="18"/>
  <c r="N31" i="18"/>
  <c r="N30" i="18"/>
  <c r="N26" i="18"/>
  <c r="N21" i="18"/>
  <c r="N20" i="18"/>
  <c r="N19" i="18"/>
  <c r="N18" i="18"/>
  <c r="E51" i="12"/>
  <c r="K38" i="18"/>
  <c r="H38" i="18"/>
  <c r="N38" i="18"/>
  <c r="H44" i="18"/>
  <c r="K44" i="18"/>
  <c r="N44" i="18"/>
  <c r="N56" i="18"/>
  <c r="K56" i="18"/>
  <c r="H56" i="18"/>
  <c r="H45" i="18"/>
  <c r="N59" i="18"/>
  <c r="E76" i="8" s="1"/>
  <c r="K59" i="18"/>
  <c r="H59" i="18"/>
  <c r="N55" i="18"/>
  <c r="N54" i="18"/>
  <c r="K55" i="18"/>
  <c r="K54" i="18"/>
  <c r="H55" i="18"/>
  <c r="H54" i="18"/>
  <c r="H51" i="18"/>
  <c r="K51" i="18"/>
  <c r="N51" i="18"/>
  <c r="E121" i="8" s="1"/>
  <c r="N46" i="18"/>
  <c r="N45" i="18"/>
  <c r="K46" i="18"/>
  <c r="K45" i="18"/>
  <c r="H46" i="18"/>
  <c r="N23" i="18"/>
  <c r="N22" i="18"/>
  <c r="K23" i="18"/>
  <c r="K22" i="18"/>
  <c r="H23" i="18"/>
  <c r="H22" i="18"/>
  <c r="N43" i="18"/>
  <c r="N42" i="18"/>
  <c r="N41" i="18"/>
  <c r="N40" i="18"/>
  <c r="N39" i="18"/>
  <c r="N37" i="18"/>
  <c r="N36" i="18"/>
  <c r="N35" i="18"/>
  <c r="N34" i="18"/>
  <c r="N33" i="18" s="1"/>
  <c r="H43" i="18"/>
  <c r="H42" i="18"/>
  <c r="H41" i="18"/>
  <c r="H40" i="18"/>
  <c r="H37" i="18"/>
  <c r="H36" i="18"/>
  <c r="H35" i="18"/>
  <c r="K43" i="18"/>
  <c r="K42" i="18"/>
  <c r="K41" i="18"/>
  <c r="K40" i="18"/>
  <c r="K37" i="18"/>
  <c r="K36" i="18"/>
  <c r="K35" i="18"/>
  <c r="J39" i="18"/>
  <c r="K39" i="18" s="1"/>
  <c r="G39" i="18"/>
  <c r="H39" i="18" s="1"/>
  <c r="J34" i="18"/>
  <c r="K34" i="18" s="1"/>
  <c r="K33" i="18" s="1"/>
  <c r="G34" i="18"/>
  <c r="H34" i="18" s="1"/>
  <c r="H33" i="18" s="1"/>
  <c r="H31" i="18"/>
  <c r="K31" i="18"/>
  <c r="N28" i="18"/>
  <c r="N29" i="18"/>
  <c r="N27" i="18"/>
  <c r="K30" i="18"/>
  <c r="K29" i="18"/>
  <c r="K28" i="18"/>
  <c r="K27" i="18"/>
  <c r="K26" i="18"/>
  <c r="H27" i="18"/>
  <c r="H29" i="18"/>
  <c r="G30" i="18"/>
  <c r="H30" i="18" s="1"/>
  <c r="G26" i="18"/>
  <c r="H26" i="18" s="1"/>
  <c r="H28" i="18"/>
  <c r="H21" i="18"/>
  <c r="K21" i="18"/>
  <c r="H20" i="18"/>
  <c r="K20" i="18"/>
  <c r="K19" i="18"/>
  <c r="G19" i="18"/>
  <c r="H19" i="18" s="1"/>
  <c r="K18" i="18"/>
  <c r="H18" i="18"/>
  <c r="N10" i="18"/>
  <c r="N11" i="18"/>
  <c r="N12" i="18"/>
  <c r="N13" i="18"/>
  <c r="N14" i="18"/>
  <c r="N15" i="18"/>
  <c r="H11" i="18"/>
  <c r="H12" i="18"/>
  <c r="H13" i="18"/>
  <c r="H14" i="18"/>
  <c r="H15" i="18"/>
  <c r="K15" i="18"/>
  <c r="K11" i="18"/>
  <c r="K12" i="18"/>
  <c r="K13" i="18"/>
  <c r="K14" i="18"/>
  <c r="J10" i="18"/>
  <c r="K10" i="18" s="1"/>
  <c r="G10" i="18"/>
  <c r="H10" i="18" s="1"/>
  <c r="N9" i="18"/>
  <c r="K9" i="18"/>
  <c r="K8" i="18" s="1"/>
  <c r="H9" i="18"/>
  <c r="H8" i="18" l="1"/>
  <c r="E25" i="8"/>
  <c r="H25" i="18"/>
  <c r="K25" i="18"/>
  <c r="E122" i="8"/>
  <c r="N25" i="18"/>
  <c r="N8" i="18"/>
  <c r="E75" i="8"/>
  <c r="D82" i="12"/>
  <c r="D54" i="12"/>
  <c r="J13" i="17"/>
  <c r="J26" i="17"/>
  <c r="J25" i="17"/>
  <c r="J24" i="17"/>
  <c r="J23" i="17"/>
  <c r="J22" i="17"/>
  <c r="J21" i="17"/>
  <c r="I26" i="17"/>
  <c r="I25" i="17"/>
  <c r="I24" i="17"/>
  <c r="I23" i="17"/>
  <c r="I22" i="17"/>
  <c r="I21" i="17"/>
  <c r="I20" i="17"/>
  <c r="G26" i="17"/>
  <c r="G25" i="17"/>
  <c r="G24" i="17"/>
  <c r="G23" i="17"/>
  <c r="G22" i="17"/>
  <c r="G21" i="17"/>
  <c r="G20" i="17"/>
  <c r="F26" i="17"/>
  <c r="F25" i="17"/>
  <c r="F24" i="17"/>
  <c r="F23" i="17"/>
  <c r="F22" i="17"/>
  <c r="F21" i="17"/>
  <c r="F20" i="17"/>
  <c r="C26" i="17"/>
  <c r="C25" i="17"/>
  <c r="C24" i="17"/>
  <c r="C23" i="17"/>
  <c r="C22" i="17"/>
  <c r="C21" i="17"/>
  <c r="C20" i="17"/>
  <c r="K18" i="9" l="1"/>
  <c r="J63" i="15" l="1"/>
  <c r="K63" i="15" s="1"/>
  <c r="J64" i="15"/>
  <c r="J65" i="15"/>
  <c r="J66" i="15"/>
  <c r="J67" i="15"/>
  <c r="J68" i="15"/>
  <c r="J69" i="15"/>
  <c r="J70" i="15"/>
  <c r="J71" i="15"/>
  <c r="J72" i="15"/>
  <c r="J73" i="15"/>
  <c r="J74" i="15"/>
  <c r="B78" i="15"/>
  <c r="D20" i="16"/>
  <c r="E20" i="16"/>
  <c r="F20" i="16"/>
  <c r="G20" i="16"/>
  <c r="H20" i="16"/>
  <c r="I20" i="16"/>
  <c r="C20" i="16"/>
  <c r="K64" i="15" l="1"/>
  <c r="K65" i="15" s="1"/>
  <c r="K66" i="15" s="1"/>
  <c r="K67" i="15" s="1"/>
  <c r="K68" i="15" s="1"/>
  <c r="K69" i="15" s="1"/>
  <c r="K70" i="15" s="1"/>
  <c r="K71" i="15" s="1"/>
  <c r="K72" i="15" s="1"/>
  <c r="K73" i="15" s="1"/>
  <c r="K74" i="15" s="1"/>
  <c r="L63" i="15" s="1"/>
  <c r="L64" i="15" s="1"/>
  <c r="L65" i="15" s="1"/>
  <c r="L66" i="15" s="1"/>
  <c r="L67" i="15" s="1"/>
  <c r="L68" i="15" s="1"/>
  <c r="L69" i="15" s="1"/>
  <c r="L70" i="15" s="1"/>
  <c r="L71" i="15" s="1"/>
  <c r="L72" i="15" s="1"/>
  <c r="L73" i="15" s="1"/>
  <c r="L74" i="15" s="1"/>
  <c r="M63" i="15" s="1"/>
  <c r="M64" i="15" s="1"/>
  <c r="M65" i="15" s="1"/>
  <c r="M66" i="15" s="1"/>
  <c r="M67" i="15" s="1"/>
  <c r="M68" i="15" s="1"/>
  <c r="M69" i="15" s="1"/>
  <c r="M70" i="15" s="1"/>
  <c r="M71" i="15" s="1"/>
  <c r="M72" i="15" s="1"/>
  <c r="M73" i="15" s="1"/>
  <c r="M74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O63" i="15" s="1"/>
  <c r="O64" i="15" s="1"/>
  <c r="O65" i="15" s="1"/>
  <c r="O66" i="15" s="1"/>
  <c r="O67" i="15" s="1"/>
  <c r="O68" i="15" s="1"/>
  <c r="O69" i="15" s="1"/>
  <c r="O70" i="15" s="1"/>
  <c r="O71" i="15" s="1"/>
  <c r="O72" i="15" s="1"/>
  <c r="O73" i="15" s="1"/>
  <c r="O74" i="15" s="1"/>
  <c r="P63" i="15" s="1"/>
  <c r="P64" i="15" s="1"/>
  <c r="P65" i="15" s="1"/>
  <c r="P66" i="15" s="1"/>
  <c r="P67" i="15" s="1"/>
  <c r="P68" i="15" s="1"/>
  <c r="P69" i="15" s="1"/>
  <c r="P70" i="15" s="1"/>
  <c r="P71" i="15" s="1"/>
  <c r="P72" i="15" s="1"/>
  <c r="P73" i="15" s="1"/>
  <c r="P74" i="15" s="1"/>
  <c r="Q63" i="15" s="1"/>
  <c r="Q64" i="15" s="1"/>
  <c r="Q65" i="15" s="1"/>
  <c r="Q66" i="15" s="1"/>
  <c r="Q67" i="15" s="1"/>
  <c r="Q68" i="15" s="1"/>
  <c r="Q69" i="15" s="1"/>
  <c r="Q70" i="15" s="1"/>
  <c r="Q71" i="15" s="1"/>
  <c r="Q72" i="15" s="1"/>
  <c r="Q73" i="15" s="1"/>
  <c r="Q74" i="15" s="1"/>
  <c r="D58" i="12"/>
  <c r="D22" i="12"/>
  <c r="D100" i="7"/>
  <c r="E65" i="7"/>
  <c r="F65" i="7" s="1"/>
  <c r="C58" i="6"/>
  <c r="C106" i="4"/>
  <c r="C64" i="4"/>
  <c r="D19" i="16"/>
  <c r="E19" i="16"/>
  <c r="F19" i="16"/>
  <c r="G19" i="16"/>
  <c r="H19" i="16"/>
  <c r="I19" i="16"/>
  <c r="D23" i="16"/>
  <c r="E23" i="16"/>
  <c r="F23" i="16"/>
  <c r="G23" i="16"/>
  <c r="H23" i="16"/>
  <c r="I23" i="16"/>
  <c r="D27" i="16"/>
  <c r="E27" i="16"/>
  <c r="F27" i="16"/>
  <c r="G27" i="16"/>
  <c r="H27" i="16"/>
  <c r="I27" i="16"/>
  <c r="D31" i="16"/>
  <c r="E31" i="16"/>
  <c r="F31" i="16"/>
  <c r="G31" i="16"/>
  <c r="H31" i="16"/>
  <c r="I31" i="16"/>
  <c r="D35" i="16"/>
  <c r="E35" i="16"/>
  <c r="F35" i="16"/>
  <c r="G35" i="16"/>
  <c r="H35" i="16"/>
  <c r="I35" i="16"/>
  <c r="D36" i="16"/>
  <c r="E36" i="16"/>
  <c r="F36" i="16"/>
  <c r="G36" i="16"/>
  <c r="H36" i="16"/>
  <c r="I36" i="16"/>
  <c r="D37" i="16"/>
  <c r="E37" i="16"/>
  <c r="F37" i="16"/>
  <c r="G37" i="16"/>
  <c r="H37" i="16"/>
  <c r="I37" i="16"/>
  <c r="D39" i="16"/>
  <c r="E39" i="16"/>
  <c r="F39" i="16"/>
  <c r="G39" i="16"/>
  <c r="H39" i="16"/>
  <c r="I39" i="16"/>
  <c r="D40" i="16"/>
  <c r="E40" i="16"/>
  <c r="F40" i="16"/>
  <c r="G40" i="16"/>
  <c r="H40" i="16"/>
  <c r="I40" i="16"/>
  <c r="D41" i="16"/>
  <c r="E41" i="16"/>
  <c r="F41" i="16"/>
  <c r="G41" i="16"/>
  <c r="H41" i="16"/>
  <c r="I41" i="16"/>
  <c r="D47" i="16"/>
  <c r="E47" i="16"/>
  <c r="F47" i="16"/>
  <c r="G47" i="16"/>
  <c r="H47" i="16"/>
  <c r="I47" i="16"/>
  <c r="D48" i="16"/>
  <c r="E48" i="16"/>
  <c r="F48" i="16"/>
  <c r="G48" i="16"/>
  <c r="H48" i="16"/>
  <c r="I48" i="16"/>
  <c r="D49" i="16"/>
  <c r="E49" i="16"/>
  <c r="F49" i="16"/>
  <c r="G49" i="16"/>
  <c r="H49" i="16"/>
  <c r="I49" i="16"/>
  <c r="D51" i="16"/>
  <c r="E51" i="16"/>
  <c r="F51" i="16"/>
  <c r="G51" i="16"/>
  <c r="H51" i="16"/>
  <c r="I51" i="16"/>
  <c r="D52" i="16"/>
  <c r="E52" i="16"/>
  <c r="F52" i="16"/>
  <c r="G52" i="16"/>
  <c r="H52" i="16"/>
  <c r="I52" i="16"/>
  <c r="D53" i="16"/>
  <c r="E53" i="16"/>
  <c r="F53" i="16"/>
  <c r="G53" i="16"/>
  <c r="H53" i="16"/>
  <c r="I53" i="16"/>
  <c r="D55" i="16"/>
  <c r="E55" i="16"/>
  <c r="F55" i="16"/>
  <c r="G55" i="16"/>
  <c r="H55" i="16"/>
  <c r="I55" i="16"/>
  <c r="D56" i="16"/>
  <c r="E56" i="16"/>
  <c r="F56" i="16"/>
  <c r="G56" i="16"/>
  <c r="H56" i="16"/>
  <c r="I56" i="16"/>
  <c r="D57" i="16"/>
  <c r="E57" i="16"/>
  <c r="F57" i="16"/>
  <c r="G57" i="16"/>
  <c r="H57" i="16"/>
  <c r="I57" i="16"/>
  <c r="D59" i="16"/>
  <c r="E59" i="16"/>
  <c r="F59" i="16"/>
  <c r="G59" i="16"/>
  <c r="H59" i="16"/>
  <c r="I59" i="16"/>
  <c r="D61" i="16"/>
  <c r="E61" i="16"/>
  <c r="F61" i="16"/>
  <c r="G61" i="16"/>
  <c r="H61" i="16"/>
  <c r="I61" i="16"/>
  <c r="D63" i="16"/>
  <c r="E63" i="16"/>
  <c r="F63" i="16"/>
  <c r="G63" i="16"/>
  <c r="H63" i="16"/>
  <c r="I63" i="16"/>
  <c r="D64" i="16"/>
  <c r="E64" i="16"/>
  <c r="F64" i="16"/>
  <c r="G64" i="16"/>
  <c r="H64" i="16"/>
  <c r="I64" i="16"/>
  <c r="D69" i="16"/>
  <c r="D66" i="16" s="1"/>
  <c r="E69" i="16"/>
  <c r="E66" i="16" s="1"/>
  <c r="F69" i="16"/>
  <c r="F66" i="16" s="1"/>
  <c r="G69" i="16"/>
  <c r="G66" i="16" s="1"/>
  <c r="H69" i="16"/>
  <c r="H66" i="16" s="1"/>
  <c r="I69" i="16"/>
  <c r="I66" i="16" s="1"/>
  <c r="C73" i="16"/>
  <c r="C70" i="16" s="1"/>
  <c r="C61" i="16"/>
  <c r="C57" i="16"/>
  <c r="C41" i="16"/>
  <c r="C53" i="16"/>
  <c r="C37" i="16"/>
  <c r="C69" i="16"/>
  <c r="C66" i="16" s="1"/>
  <c r="C49" i="16"/>
  <c r="C64" i="16"/>
  <c r="C56" i="16"/>
  <c r="C52" i="16"/>
  <c r="C48" i="16"/>
  <c r="C40" i="16"/>
  <c r="C36" i="16"/>
  <c r="C63" i="16"/>
  <c r="C55" i="16"/>
  <c r="C54" i="16" s="1"/>
  <c r="C80" i="16" s="1"/>
  <c r="C59" i="16"/>
  <c r="C51" i="16"/>
  <c r="C47" i="16"/>
  <c r="C39" i="16"/>
  <c r="C35" i="16"/>
  <c r="C31" i="16"/>
  <c r="C27" i="16"/>
  <c r="C23" i="16"/>
  <c r="C19" i="16"/>
  <c r="C57" i="14"/>
  <c r="C58" i="14"/>
  <c r="D37" i="14"/>
  <c r="D35" i="14"/>
  <c r="D34" i="14"/>
  <c r="D33" i="14"/>
  <c r="D32" i="14"/>
  <c r="C55" i="9"/>
  <c r="C54" i="9"/>
  <c r="C53" i="9"/>
  <c r="C52" i="9"/>
  <c r="C34" i="16" l="1"/>
  <c r="C38" i="16"/>
  <c r="C50" i="16"/>
  <c r="I62" i="16"/>
  <c r="G62" i="16"/>
  <c r="E62" i="16"/>
  <c r="I54" i="16"/>
  <c r="I80" i="16" s="1"/>
  <c r="G54" i="16"/>
  <c r="G80" i="16" s="1"/>
  <c r="E54" i="16"/>
  <c r="E80" i="16" s="1"/>
  <c r="I50" i="16"/>
  <c r="G50" i="16"/>
  <c r="E50" i="16"/>
  <c r="I46" i="16"/>
  <c r="G46" i="16"/>
  <c r="E46" i="16"/>
  <c r="I38" i="16"/>
  <c r="G38" i="16"/>
  <c r="E38" i="16"/>
  <c r="I34" i="16"/>
  <c r="G34" i="16"/>
  <c r="E34" i="16"/>
  <c r="H62" i="16"/>
  <c r="F62" i="16"/>
  <c r="D62" i="16"/>
  <c r="H54" i="16"/>
  <c r="H80" i="16" s="1"/>
  <c r="F54" i="16"/>
  <c r="F80" i="16" s="1"/>
  <c r="D54" i="16"/>
  <c r="D80" i="16" s="1"/>
  <c r="H50" i="16"/>
  <c r="F50" i="16"/>
  <c r="D50" i="16"/>
  <c r="H46" i="16"/>
  <c r="F46" i="16"/>
  <c r="D46" i="16"/>
  <c r="H38" i="16"/>
  <c r="F38" i="16"/>
  <c r="D38" i="16"/>
  <c r="H34" i="16"/>
  <c r="F34" i="16"/>
  <c r="D34" i="16"/>
  <c r="C46" i="16"/>
  <c r="C78" i="16" s="1"/>
  <c r="C62" i="16"/>
  <c r="D141" i="9"/>
  <c r="E141" i="9"/>
  <c r="F141" i="9"/>
  <c r="G141" i="9"/>
  <c r="H141" i="9"/>
  <c r="I141" i="9"/>
  <c r="C141" i="9"/>
  <c r="C78" i="15"/>
  <c r="D78" i="15"/>
  <c r="E78" i="15"/>
  <c r="F78" i="15"/>
  <c r="G78" i="15"/>
  <c r="H78" i="15"/>
  <c r="I127" i="9"/>
  <c r="H127" i="9"/>
  <c r="G127" i="9"/>
  <c r="F127" i="9"/>
  <c r="E127" i="9"/>
  <c r="D127" i="9"/>
  <c r="C127" i="9"/>
  <c r="I126" i="9"/>
  <c r="H126" i="9"/>
  <c r="G126" i="9"/>
  <c r="F126" i="9"/>
  <c r="E126" i="9"/>
  <c r="D126" i="9"/>
  <c r="C126" i="9"/>
  <c r="D52" i="9"/>
  <c r="E52" i="9" s="1"/>
  <c r="F52" i="9" s="1"/>
  <c r="G52" i="9" s="1"/>
  <c r="H52" i="9" s="1"/>
  <c r="I52" i="9" s="1"/>
  <c r="D53" i="9"/>
  <c r="E53" i="9" s="1"/>
  <c r="F53" i="9" s="1"/>
  <c r="G53" i="9" s="1"/>
  <c r="H53" i="9" s="1"/>
  <c r="I53" i="9" s="1"/>
  <c r="D54" i="9"/>
  <c r="E54" i="9" s="1"/>
  <c r="F54" i="9" s="1"/>
  <c r="G54" i="9" s="1"/>
  <c r="H54" i="9" s="1"/>
  <c r="I54" i="9" s="1"/>
  <c r="D55" i="9"/>
  <c r="E55" i="9" s="1"/>
  <c r="F55" i="9" s="1"/>
  <c r="G55" i="9" s="1"/>
  <c r="H55" i="9" s="1"/>
  <c r="I55" i="9" s="1"/>
  <c r="C21" i="15"/>
  <c r="C123" i="9" s="1"/>
  <c r="E78" i="16" l="1"/>
  <c r="I78" i="16"/>
  <c r="D78" i="16"/>
  <c r="H78" i="16"/>
  <c r="F78" i="16"/>
  <c r="G78" i="16"/>
  <c r="B63" i="15"/>
  <c r="D21" i="15"/>
  <c r="K49" i="9"/>
  <c r="K54" i="9" s="1"/>
  <c r="E22" i="12"/>
  <c r="F22" i="12"/>
  <c r="G22" i="12"/>
  <c r="H22" i="12"/>
  <c r="I22" i="12"/>
  <c r="D27" i="9"/>
  <c r="E27" i="9"/>
  <c r="F27" i="9"/>
  <c r="G27" i="9"/>
  <c r="H27" i="9"/>
  <c r="I27" i="9"/>
  <c r="C27" i="9"/>
  <c r="D28" i="9"/>
  <c r="D125" i="9" s="1"/>
  <c r="E28" i="9"/>
  <c r="E125" i="9" s="1"/>
  <c r="F28" i="9"/>
  <c r="F125" i="9" s="1"/>
  <c r="G28" i="9"/>
  <c r="G125" i="9" s="1"/>
  <c r="H28" i="9"/>
  <c r="H125" i="9" s="1"/>
  <c r="I28" i="9"/>
  <c r="I125" i="9" s="1"/>
  <c r="C28" i="9"/>
  <c r="C125" i="9" s="1"/>
  <c r="B28" i="15"/>
  <c r="B25" i="15"/>
  <c r="D58" i="14"/>
  <c r="E58" i="14" s="1"/>
  <c r="F58" i="14" s="1"/>
  <c r="G58" i="14" s="1"/>
  <c r="H58" i="14" s="1"/>
  <c r="I58" i="14" s="1"/>
  <c r="D57" i="14"/>
  <c r="E57" i="14" s="1"/>
  <c r="F57" i="14" s="1"/>
  <c r="G57" i="14" s="1"/>
  <c r="H57" i="14" s="1"/>
  <c r="I57" i="14" s="1"/>
  <c r="D79" i="14"/>
  <c r="E79" i="14"/>
  <c r="F79" i="14"/>
  <c r="G79" i="14"/>
  <c r="H79" i="14"/>
  <c r="I79" i="14"/>
  <c r="D80" i="14"/>
  <c r="E80" i="14"/>
  <c r="F80" i="14"/>
  <c r="G80" i="14"/>
  <c r="H80" i="14"/>
  <c r="I80" i="14"/>
  <c r="C79" i="14"/>
  <c r="C80" i="14" s="1"/>
  <c r="C28" i="4"/>
  <c r="D77" i="14"/>
  <c r="D78" i="14" s="1"/>
  <c r="E77" i="14"/>
  <c r="E78" i="14" s="1"/>
  <c r="F77" i="14"/>
  <c r="F78" i="14" s="1"/>
  <c r="G77" i="14"/>
  <c r="G78" i="14" s="1"/>
  <c r="H77" i="14"/>
  <c r="H78" i="14" s="1"/>
  <c r="I77" i="14"/>
  <c r="I78" i="14" s="1"/>
  <c r="C77" i="14"/>
  <c r="B30" i="15" l="1"/>
  <c r="B64" i="15"/>
  <c r="K52" i="9"/>
  <c r="K53" i="9"/>
  <c r="K55" i="9"/>
  <c r="B42" i="15"/>
  <c r="C78" i="14"/>
  <c r="C82" i="14" s="1"/>
  <c r="C60" i="14"/>
  <c r="C59" i="14"/>
  <c r="E60" i="14"/>
  <c r="D60" i="14"/>
  <c r="J54" i="14"/>
  <c r="I54" i="14"/>
  <c r="H54" i="14"/>
  <c r="G54" i="14"/>
  <c r="F54" i="14"/>
  <c r="E54" i="14"/>
  <c r="D54" i="14"/>
  <c r="J53" i="14"/>
  <c r="I53" i="14"/>
  <c r="H53" i="14"/>
  <c r="G53" i="14"/>
  <c r="F53" i="14"/>
  <c r="E53" i="14"/>
  <c r="D53" i="14"/>
  <c r="C43" i="14"/>
  <c r="C42" i="14"/>
  <c r="C41" i="14"/>
  <c r="C40" i="14"/>
  <c r="C45" i="14"/>
  <c r="C36" i="14"/>
  <c r="D43" i="14"/>
  <c r="D42" i="14"/>
  <c r="D41" i="14"/>
  <c r="J28" i="14"/>
  <c r="I28" i="14"/>
  <c r="H28" i="14"/>
  <c r="G28" i="14"/>
  <c r="F28" i="14"/>
  <c r="E28" i="14"/>
  <c r="D28" i="14"/>
  <c r="I27" i="14"/>
  <c r="H27" i="14"/>
  <c r="G27" i="14"/>
  <c r="J26" i="14"/>
  <c r="I26" i="14"/>
  <c r="H26" i="14"/>
  <c r="G26" i="14"/>
  <c r="F26" i="14"/>
  <c r="E26" i="14"/>
  <c r="J25" i="14"/>
  <c r="I25" i="14"/>
  <c r="H25" i="14"/>
  <c r="G25" i="14"/>
  <c r="J24" i="14"/>
  <c r="I24" i="14"/>
  <c r="H24" i="14"/>
  <c r="G24" i="14"/>
  <c r="F24" i="14"/>
  <c r="E24" i="14"/>
  <c r="D24" i="14"/>
  <c r="J23" i="14"/>
  <c r="I23" i="14"/>
  <c r="H23" i="14"/>
  <c r="G23" i="14"/>
  <c r="J19" i="14"/>
  <c r="H22" i="13"/>
  <c r="G22" i="13"/>
  <c r="F22" i="13"/>
  <c r="E22" i="13"/>
  <c r="D22" i="13"/>
  <c r="C22" i="13"/>
  <c r="B22" i="1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C22" i="3"/>
  <c r="C21" i="3"/>
  <c r="C16" i="3"/>
  <c r="J96" i="8"/>
  <c r="I96" i="8"/>
  <c r="H96" i="8"/>
  <c r="G96" i="8"/>
  <c r="F96" i="8"/>
  <c r="E96" i="8"/>
  <c r="D96" i="8"/>
  <c r="E71" i="8"/>
  <c r="D71" i="8"/>
  <c r="J55" i="8"/>
  <c r="I55" i="8"/>
  <c r="H55" i="8"/>
  <c r="G55" i="8"/>
  <c r="F55" i="8"/>
  <c r="E55" i="8"/>
  <c r="D55" i="8"/>
  <c r="E29" i="8"/>
  <c r="D29" i="8"/>
  <c r="E28" i="8"/>
  <c r="D28" i="8"/>
  <c r="J96" i="2"/>
  <c r="I96" i="2"/>
  <c r="H96" i="2"/>
  <c r="G96" i="2"/>
  <c r="F96" i="2"/>
  <c r="E96" i="2"/>
  <c r="D96" i="2"/>
  <c r="D71" i="2"/>
  <c r="J55" i="2"/>
  <c r="I55" i="2"/>
  <c r="H55" i="2"/>
  <c r="G55" i="2"/>
  <c r="F55" i="2"/>
  <c r="E55" i="2"/>
  <c r="D55" i="2"/>
  <c r="D29" i="2"/>
  <c r="D28" i="2"/>
  <c r="C82" i="9"/>
  <c r="C77" i="9"/>
  <c r="I76" i="9"/>
  <c r="H76" i="9"/>
  <c r="G76" i="9"/>
  <c r="F76" i="9"/>
  <c r="E76" i="9"/>
  <c r="D76" i="9"/>
  <c r="I75" i="9"/>
  <c r="H75" i="9"/>
  <c r="G75" i="9"/>
  <c r="F75" i="9"/>
  <c r="E75" i="9"/>
  <c r="D75" i="9"/>
  <c r="C72" i="9"/>
  <c r="I71" i="9"/>
  <c r="H71" i="9"/>
  <c r="G71" i="9"/>
  <c r="F71" i="9"/>
  <c r="E71" i="9"/>
  <c r="D71" i="9"/>
  <c r="I70" i="9"/>
  <c r="H70" i="9"/>
  <c r="H73" i="16" s="1"/>
  <c r="H70" i="16" s="1"/>
  <c r="G70" i="9"/>
  <c r="F70" i="9"/>
  <c r="F73" i="16" s="1"/>
  <c r="F70" i="16" s="1"/>
  <c r="E70" i="9"/>
  <c r="D70" i="9"/>
  <c r="D73" i="16" s="1"/>
  <c r="D70" i="16" s="1"/>
  <c r="C67" i="9"/>
  <c r="C62" i="9"/>
  <c r="E48" i="9"/>
  <c r="D48" i="9"/>
  <c r="D47" i="9"/>
  <c r="E47" i="9" s="1"/>
  <c r="F47" i="9" s="1"/>
  <c r="G47" i="9" s="1"/>
  <c r="H47" i="9" s="1"/>
  <c r="I47" i="9" s="1"/>
  <c r="D46" i="9"/>
  <c r="E46" i="9" s="1"/>
  <c r="F46" i="9" s="1"/>
  <c r="G46" i="9" s="1"/>
  <c r="H46" i="9" s="1"/>
  <c r="I46" i="9" s="1"/>
  <c r="D45" i="9"/>
  <c r="D44" i="9"/>
  <c r="D43" i="9"/>
  <c r="E43" i="9" s="1"/>
  <c r="F43" i="9" s="1"/>
  <c r="G43" i="9" s="1"/>
  <c r="H43" i="9" s="1"/>
  <c r="I43" i="9" s="1"/>
  <c r="D42" i="9"/>
  <c r="E42" i="9" s="1"/>
  <c r="F42" i="9" s="1"/>
  <c r="G42" i="9" s="1"/>
  <c r="H42" i="9" s="1"/>
  <c r="I42" i="9" s="1"/>
  <c r="D41" i="9"/>
  <c r="E41" i="9" s="1"/>
  <c r="F41" i="9" s="1"/>
  <c r="G41" i="9" s="1"/>
  <c r="H41" i="9" s="1"/>
  <c r="I41" i="9" s="1"/>
  <c r="D40" i="9"/>
  <c r="E40" i="9" s="1"/>
  <c r="F40" i="9" s="1"/>
  <c r="G40" i="9" s="1"/>
  <c r="H40" i="9" s="1"/>
  <c r="I40" i="9" s="1"/>
  <c r="C36" i="9"/>
  <c r="I35" i="9"/>
  <c r="I36" i="9" s="1"/>
  <c r="H35" i="9"/>
  <c r="H36" i="9" s="1"/>
  <c r="G35" i="9"/>
  <c r="G36" i="9" s="1"/>
  <c r="F35" i="9"/>
  <c r="F36" i="9" s="1"/>
  <c r="E35" i="9"/>
  <c r="E36" i="9" s="1"/>
  <c r="D35" i="9"/>
  <c r="D36" i="9" s="1"/>
  <c r="I34" i="9"/>
  <c r="H34" i="9"/>
  <c r="G34" i="9"/>
  <c r="F34" i="9"/>
  <c r="E34" i="9"/>
  <c r="D34" i="9"/>
  <c r="I101" i="5"/>
  <c r="H101" i="5"/>
  <c r="G101" i="5"/>
  <c r="F101" i="5"/>
  <c r="E101" i="5"/>
  <c r="D101" i="5"/>
  <c r="I93" i="5"/>
  <c r="H93" i="5"/>
  <c r="G93" i="5"/>
  <c r="F93" i="5"/>
  <c r="E93" i="5"/>
  <c r="D93" i="5"/>
  <c r="C93" i="5"/>
  <c r="I86" i="5"/>
  <c r="H86" i="5"/>
  <c r="G86" i="5"/>
  <c r="F86" i="5"/>
  <c r="E86" i="5"/>
  <c r="D86" i="5"/>
  <c r="C86" i="5"/>
  <c r="C83" i="5"/>
  <c r="C53" i="5"/>
  <c r="I38" i="5"/>
  <c r="H38" i="5"/>
  <c r="G38" i="5"/>
  <c r="F38" i="5"/>
  <c r="E38" i="5"/>
  <c r="D38" i="5"/>
  <c r="C38" i="5"/>
  <c r="C101" i="5"/>
  <c r="C26" i="5"/>
  <c r="D89" i="12"/>
  <c r="E89" i="12" s="1"/>
  <c r="F89" i="12" s="1"/>
  <c r="G89" i="12" s="1"/>
  <c r="H89" i="12" s="1"/>
  <c r="I89" i="12" s="1"/>
  <c r="E88" i="12"/>
  <c r="F88" i="12" s="1"/>
  <c r="G88" i="12" s="1"/>
  <c r="H88" i="12" s="1"/>
  <c r="I88" i="12" s="1"/>
  <c r="E84" i="12"/>
  <c r="F84" i="12" s="1"/>
  <c r="G84" i="12" s="1"/>
  <c r="H84" i="12" s="1"/>
  <c r="I84" i="12" s="1"/>
  <c r="E83" i="12"/>
  <c r="F82" i="12"/>
  <c r="E81" i="12"/>
  <c r="E80" i="12"/>
  <c r="E76" i="12"/>
  <c r="F76" i="12" s="1"/>
  <c r="G76" i="12" s="1"/>
  <c r="H76" i="12" s="1"/>
  <c r="I76" i="12" s="1"/>
  <c r="E75" i="12"/>
  <c r="F75" i="12" s="1"/>
  <c r="G75" i="12" s="1"/>
  <c r="H75" i="12" s="1"/>
  <c r="I75" i="12" s="1"/>
  <c r="E74" i="12"/>
  <c r="F74" i="12" s="1"/>
  <c r="G74" i="12" s="1"/>
  <c r="H74" i="12" s="1"/>
  <c r="I74" i="12" s="1"/>
  <c r="E73" i="12"/>
  <c r="F73" i="12" s="1"/>
  <c r="G73" i="12" s="1"/>
  <c r="H73" i="12" s="1"/>
  <c r="I73" i="12" s="1"/>
  <c r="E72" i="12"/>
  <c r="F72" i="12" s="1"/>
  <c r="G72" i="12" s="1"/>
  <c r="H72" i="12" s="1"/>
  <c r="I72" i="12" s="1"/>
  <c r="E71" i="12"/>
  <c r="F71" i="12" s="1"/>
  <c r="G71" i="12" s="1"/>
  <c r="H71" i="12" s="1"/>
  <c r="I71" i="12" s="1"/>
  <c r="E70" i="12"/>
  <c r="F70" i="12" s="1"/>
  <c r="G70" i="12" s="1"/>
  <c r="H70" i="12" s="1"/>
  <c r="I70" i="12" s="1"/>
  <c r="E69" i="12"/>
  <c r="F69" i="12" s="1"/>
  <c r="G69" i="12" s="1"/>
  <c r="H69" i="12" s="1"/>
  <c r="I69" i="12" s="1"/>
  <c r="E68" i="12"/>
  <c r="F68" i="12" s="1"/>
  <c r="G68" i="12" s="1"/>
  <c r="H68" i="12" s="1"/>
  <c r="I68" i="12" s="1"/>
  <c r="E67" i="12"/>
  <c r="F67" i="12" s="1"/>
  <c r="G67" i="12" s="1"/>
  <c r="H67" i="12" s="1"/>
  <c r="I67" i="12" s="1"/>
  <c r="E65" i="12"/>
  <c r="F65" i="12" s="1"/>
  <c r="G65" i="12" s="1"/>
  <c r="H65" i="12" s="1"/>
  <c r="I65" i="12" s="1"/>
  <c r="C61" i="12"/>
  <c r="D72" i="8" s="1"/>
  <c r="I58" i="12"/>
  <c r="I61" i="12" s="1"/>
  <c r="J72" i="8" s="1"/>
  <c r="H58" i="12"/>
  <c r="H61" i="12" s="1"/>
  <c r="I72" i="8" s="1"/>
  <c r="G58" i="12"/>
  <c r="G61" i="12" s="1"/>
  <c r="H72" i="8" s="1"/>
  <c r="F58" i="12"/>
  <c r="F61" i="12" s="1"/>
  <c r="G72" i="8" s="1"/>
  <c r="E58" i="12"/>
  <c r="E61" i="12" s="1"/>
  <c r="F72" i="8" s="1"/>
  <c r="D61" i="12"/>
  <c r="E72" i="8" s="1"/>
  <c r="C54" i="12"/>
  <c r="D26" i="8" s="1"/>
  <c r="F53" i="12"/>
  <c r="G53" i="12" s="1"/>
  <c r="H53" i="12" s="1"/>
  <c r="I53" i="12" s="1"/>
  <c r="F51" i="12"/>
  <c r="E26" i="8"/>
  <c r="E43" i="12"/>
  <c r="F43" i="12" s="1"/>
  <c r="G43" i="12" s="1"/>
  <c r="H43" i="12" s="1"/>
  <c r="I43" i="12" s="1"/>
  <c r="E42" i="12"/>
  <c r="F42" i="12" s="1"/>
  <c r="G42" i="12" s="1"/>
  <c r="H42" i="12" s="1"/>
  <c r="I42" i="12" s="1"/>
  <c r="E41" i="12"/>
  <c r="F41" i="12" s="1"/>
  <c r="G41" i="12" s="1"/>
  <c r="H41" i="12" s="1"/>
  <c r="I41" i="12" s="1"/>
  <c r="E40" i="12"/>
  <c r="F40" i="12" s="1"/>
  <c r="G40" i="12" s="1"/>
  <c r="H40" i="12" s="1"/>
  <c r="I40" i="12" s="1"/>
  <c r="I33" i="12"/>
  <c r="I34" i="12" s="1"/>
  <c r="H33" i="12"/>
  <c r="G33" i="12"/>
  <c r="H34" i="12" s="1"/>
  <c r="F33" i="12"/>
  <c r="E33" i="12"/>
  <c r="F34" i="12" s="1"/>
  <c r="D33" i="12"/>
  <c r="C33" i="12"/>
  <c r="I24" i="12"/>
  <c r="J81" i="8" s="1"/>
  <c r="H24" i="12"/>
  <c r="I81" i="8" s="1"/>
  <c r="G24" i="12"/>
  <c r="H81" i="8" s="1"/>
  <c r="F24" i="12"/>
  <c r="G81" i="8" s="1"/>
  <c r="E24" i="12"/>
  <c r="F81" i="8" s="1"/>
  <c r="D24" i="12"/>
  <c r="E81" i="8" s="1"/>
  <c r="C24" i="12"/>
  <c r="D81" i="8" s="1"/>
  <c r="I14" i="12"/>
  <c r="J40" i="8" s="1"/>
  <c r="H14" i="12"/>
  <c r="I40" i="8" s="1"/>
  <c r="G14" i="12"/>
  <c r="H40" i="8" s="1"/>
  <c r="F14" i="12"/>
  <c r="G40" i="8" s="1"/>
  <c r="E14" i="12"/>
  <c r="F40" i="8" s="1"/>
  <c r="D14" i="12"/>
  <c r="E40" i="8" s="1"/>
  <c r="C14" i="12"/>
  <c r="D40" i="8" s="1"/>
  <c r="I117" i="7"/>
  <c r="H117" i="7"/>
  <c r="G117" i="7"/>
  <c r="F117" i="7"/>
  <c r="E117" i="7"/>
  <c r="D117" i="7"/>
  <c r="C117" i="7"/>
  <c r="I116" i="7"/>
  <c r="H116" i="7"/>
  <c r="G116" i="7"/>
  <c r="F116" i="7"/>
  <c r="E116" i="7"/>
  <c r="D116" i="7"/>
  <c r="C116" i="7"/>
  <c r="I114" i="7"/>
  <c r="H114" i="7"/>
  <c r="G114" i="7"/>
  <c r="F114" i="7"/>
  <c r="E114" i="7"/>
  <c r="D114" i="7"/>
  <c r="C114" i="7"/>
  <c r="I113" i="7"/>
  <c r="H113" i="7"/>
  <c r="G113" i="7"/>
  <c r="F113" i="7"/>
  <c r="E113" i="7"/>
  <c r="D113" i="7"/>
  <c r="C113" i="7"/>
  <c r="I112" i="7"/>
  <c r="H112" i="7"/>
  <c r="G112" i="7"/>
  <c r="F112" i="7"/>
  <c r="E112" i="7"/>
  <c r="D112" i="7"/>
  <c r="C112" i="7"/>
  <c r="I111" i="7"/>
  <c r="H111" i="7"/>
  <c r="G111" i="7"/>
  <c r="F111" i="7"/>
  <c r="E111" i="7"/>
  <c r="D111" i="7"/>
  <c r="C111" i="7"/>
  <c r="I100" i="7"/>
  <c r="H100" i="7"/>
  <c r="G100" i="7"/>
  <c r="F100" i="7"/>
  <c r="E100" i="7"/>
  <c r="C100" i="7"/>
  <c r="I95" i="7"/>
  <c r="I60" i="16" s="1"/>
  <c r="I58" i="16" s="1"/>
  <c r="H95" i="7"/>
  <c r="H60" i="16" s="1"/>
  <c r="G95" i="7"/>
  <c r="G60" i="16" s="1"/>
  <c r="F95" i="7"/>
  <c r="F60" i="16" s="1"/>
  <c r="E95" i="7"/>
  <c r="E60" i="16" s="1"/>
  <c r="D95" i="7"/>
  <c r="D60" i="16" s="1"/>
  <c r="C95" i="7"/>
  <c r="C60" i="16" s="1"/>
  <c r="C58" i="16" s="1"/>
  <c r="C81" i="16" s="1"/>
  <c r="C94" i="7"/>
  <c r="C90" i="7"/>
  <c r="C77" i="7"/>
  <c r="G65" i="7"/>
  <c r="H65" i="7" s="1"/>
  <c r="I65" i="7" s="1"/>
  <c r="I54" i="7"/>
  <c r="I24" i="16" s="1"/>
  <c r="I22" i="16" s="1"/>
  <c r="H54" i="7"/>
  <c r="H24" i="16" s="1"/>
  <c r="H22" i="16" s="1"/>
  <c r="G54" i="7"/>
  <c r="G24" i="16" s="1"/>
  <c r="G22" i="16" s="1"/>
  <c r="F54" i="7"/>
  <c r="F24" i="16" s="1"/>
  <c r="F22" i="16" s="1"/>
  <c r="E54" i="7"/>
  <c r="E24" i="16" s="1"/>
  <c r="E22" i="16" s="1"/>
  <c r="D54" i="7"/>
  <c r="D24" i="16" s="1"/>
  <c r="D22" i="16" s="1"/>
  <c r="C54" i="7"/>
  <c r="C24" i="16" s="1"/>
  <c r="C22" i="16" s="1"/>
  <c r="I53" i="7"/>
  <c r="I18" i="16" s="1"/>
  <c r="H53" i="7"/>
  <c r="H18" i="16" s="1"/>
  <c r="G53" i="7"/>
  <c r="G18" i="16" s="1"/>
  <c r="F53" i="7"/>
  <c r="F18" i="16" s="1"/>
  <c r="E53" i="7"/>
  <c r="E18" i="16" s="1"/>
  <c r="D53" i="7"/>
  <c r="D18" i="16" s="1"/>
  <c r="C53" i="7"/>
  <c r="C18" i="16" s="1"/>
  <c r="I52" i="7"/>
  <c r="I28" i="16" s="1"/>
  <c r="I26" i="16" s="1"/>
  <c r="H52" i="7"/>
  <c r="H28" i="16" s="1"/>
  <c r="H26" i="16" s="1"/>
  <c r="G52" i="7"/>
  <c r="G28" i="16" s="1"/>
  <c r="G26" i="16" s="1"/>
  <c r="F52" i="7"/>
  <c r="F28" i="16" s="1"/>
  <c r="F26" i="16" s="1"/>
  <c r="E52" i="7"/>
  <c r="E28" i="16" s="1"/>
  <c r="E26" i="16" s="1"/>
  <c r="D52" i="7"/>
  <c r="D28" i="16" s="1"/>
  <c r="D26" i="16" s="1"/>
  <c r="C52" i="7"/>
  <c r="C28" i="16" s="1"/>
  <c r="C26" i="16" s="1"/>
  <c r="I51" i="7"/>
  <c r="I32" i="16" s="1"/>
  <c r="I30" i="16" s="1"/>
  <c r="H51" i="7"/>
  <c r="H32" i="16" s="1"/>
  <c r="H30" i="16" s="1"/>
  <c r="G51" i="7"/>
  <c r="G32" i="16" s="1"/>
  <c r="G30" i="16" s="1"/>
  <c r="F51" i="7"/>
  <c r="F32" i="16" s="1"/>
  <c r="F30" i="16" s="1"/>
  <c r="E51" i="7"/>
  <c r="E32" i="16" s="1"/>
  <c r="E30" i="16" s="1"/>
  <c r="D51" i="7"/>
  <c r="D32" i="16" s="1"/>
  <c r="D30" i="16" s="1"/>
  <c r="C51" i="7"/>
  <c r="C32" i="16" s="1"/>
  <c r="C30" i="16" s="1"/>
  <c r="I50" i="7"/>
  <c r="I44" i="16" s="1"/>
  <c r="I42" i="16" s="1"/>
  <c r="H50" i="7"/>
  <c r="H44" i="16" s="1"/>
  <c r="H42" i="16" s="1"/>
  <c r="G50" i="7"/>
  <c r="G44" i="16" s="1"/>
  <c r="G42" i="16" s="1"/>
  <c r="F50" i="7"/>
  <c r="F44" i="16" s="1"/>
  <c r="F42" i="16" s="1"/>
  <c r="E50" i="7"/>
  <c r="E44" i="16" s="1"/>
  <c r="E42" i="16" s="1"/>
  <c r="D50" i="7"/>
  <c r="D44" i="16" s="1"/>
  <c r="D42" i="16" s="1"/>
  <c r="C50" i="7"/>
  <c r="C44" i="16" s="1"/>
  <c r="C42" i="16" s="1"/>
  <c r="I49" i="7"/>
  <c r="H49" i="7"/>
  <c r="H16" i="16" s="1"/>
  <c r="G49" i="7"/>
  <c r="F49" i="7"/>
  <c r="F16" i="16" s="1"/>
  <c r="E49" i="7"/>
  <c r="E16" i="16" s="1"/>
  <c r="D49" i="7"/>
  <c r="D16" i="16" s="1"/>
  <c r="C49" i="7"/>
  <c r="I30" i="7"/>
  <c r="I76" i="14" s="1"/>
  <c r="H30" i="7"/>
  <c r="H76" i="14" s="1"/>
  <c r="G30" i="7"/>
  <c r="G76" i="14" s="1"/>
  <c r="F30" i="7"/>
  <c r="F76" i="14" s="1"/>
  <c r="E30" i="7"/>
  <c r="E76" i="14" s="1"/>
  <c r="D30" i="7"/>
  <c r="D76" i="14" s="1"/>
  <c r="C30" i="7"/>
  <c r="C76" i="14" s="1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D89" i="6"/>
  <c r="D88" i="6"/>
  <c r="E84" i="6"/>
  <c r="F84" i="6" s="1"/>
  <c r="G84" i="6" s="1"/>
  <c r="H84" i="6" s="1"/>
  <c r="I84" i="6" s="1"/>
  <c r="D83" i="6"/>
  <c r="D82" i="6"/>
  <c r="D81" i="6"/>
  <c r="E81" i="6" s="1"/>
  <c r="F81" i="6" s="1"/>
  <c r="G81" i="6" s="1"/>
  <c r="H81" i="6" s="1"/>
  <c r="I81" i="6" s="1"/>
  <c r="D80" i="6"/>
  <c r="D76" i="6"/>
  <c r="E76" i="6" s="1"/>
  <c r="F76" i="6" s="1"/>
  <c r="G76" i="6" s="1"/>
  <c r="H76" i="6" s="1"/>
  <c r="I76" i="6" s="1"/>
  <c r="D75" i="6"/>
  <c r="E75" i="6" s="1"/>
  <c r="F75" i="6" s="1"/>
  <c r="G75" i="6" s="1"/>
  <c r="H75" i="6" s="1"/>
  <c r="I75" i="6" s="1"/>
  <c r="D74" i="6"/>
  <c r="E74" i="6" s="1"/>
  <c r="F74" i="6" s="1"/>
  <c r="G74" i="6" s="1"/>
  <c r="H74" i="6" s="1"/>
  <c r="I74" i="6" s="1"/>
  <c r="D73" i="6"/>
  <c r="E73" i="6" s="1"/>
  <c r="F73" i="6" s="1"/>
  <c r="G73" i="6" s="1"/>
  <c r="H73" i="6" s="1"/>
  <c r="I73" i="6" s="1"/>
  <c r="D72" i="6"/>
  <c r="E72" i="6" s="1"/>
  <c r="F72" i="6" s="1"/>
  <c r="G72" i="6" s="1"/>
  <c r="H72" i="6" s="1"/>
  <c r="I72" i="6" s="1"/>
  <c r="D71" i="6"/>
  <c r="E71" i="6" s="1"/>
  <c r="F71" i="6" s="1"/>
  <c r="G71" i="6" s="1"/>
  <c r="H71" i="6" s="1"/>
  <c r="I71" i="6" s="1"/>
  <c r="D70" i="6"/>
  <c r="E70" i="6" s="1"/>
  <c r="F70" i="6" s="1"/>
  <c r="G70" i="6" s="1"/>
  <c r="H70" i="6" s="1"/>
  <c r="I70" i="6" s="1"/>
  <c r="D69" i="6"/>
  <c r="E69" i="6" s="1"/>
  <c r="F69" i="6" s="1"/>
  <c r="G69" i="6" s="1"/>
  <c r="H69" i="6" s="1"/>
  <c r="I69" i="6" s="1"/>
  <c r="D68" i="6"/>
  <c r="E68" i="6" s="1"/>
  <c r="F68" i="6" s="1"/>
  <c r="G68" i="6" s="1"/>
  <c r="H68" i="6" s="1"/>
  <c r="I68" i="6" s="1"/>
  <c r="D67" i="6"/>
  <c r="E67" i="6" s="1"/>
  <c r="F67" i="6" s="1"/>
  <c r="G67" i="6" s="1"/>
  <c r="H67" i="6" s="1"/>
  <c r="I67" i="6" s="1"/>
  <c r="D65" i="6"/>
  <c r="E65" i="6" s="1"/>
  <c r="F65" i="6" s="1"/>
  <c r="G65" i="6" s="1"/>
  <c r="H65" i="6" s="1"/>
  <c r="I65" i="6" s="1"/>
  <c r="I58" i="6"/>
  <c r="I61" i="6" s="1"/>
  <c r="J72" i="2" s="1"/>
  <c r="H58" i="6"/>
  <c r="H61" i="6" s="1"/>
  <c r="I72" i="2" s="1"/>
  <c r="G58" i="6"/>
  <c r="G61" i="6" s="1"/>
  <c r="H72" i="2" s="1"/>
  <c r="F58" i="6"/>
  <c r="F61" i="6" s="1"/>
  <c r="G72" i="2" s="1"/>
  <c r="E58" i="6"/>
  <c r="E61" i="6" s="1"/>
  <c r="F72" i="2" s="1"/>
  <c r="D58" i="6"/>
  <c r="D61" i="6" s="1"/>
  <c r="E72" i="2" s="1"/>
  <c r="C61" i="6"/>
  <c r="D72" i="2" s="1"/>
  <c r="C54" i="6"/>
  <c r="D26" i="2" s="1"/>
  <c r="D53" i="6"/>
  <c r="E53" i="6" s="1"/>
  <c r="F53" i="6" s="1"/>
  <c r="G53" i="6" s="1"/>
  <c r="H53" i="6" s="1"/>
  <c r="I53" i="6" s="1"/>
  <c r="D52" i="6"/>
  <c r="E52" i="6" s="1"/>
  <c r="F52" i="6" s="1"/>
  <c r="G52" i="6" s="1"/>
  <c r="H52" i="6" s="1"/>
  <c r="I52" i="6" s="1"/>
  <c r="D51" i="6"/>
  <c r="D43" i="6"/>
  <c r="E43" i="6" s="1"/>
  <c r="F43" i="6" s="1"/>
  <c r="G43" i="6" s="1"/>
  <c r="H43" i="6" s="1"/>
  <c r="I43" i="6" s="1"/>
  <c r="E42" i="6"/>
  <c r="F42" i="6" s="1"/>
  <c r="G42" i="6" s="1"/>
  <c r="H42" i="6" s="1"/>
  <c r="I42" i="6" s="1"/>
  <c r="D41" i="6"/>
  <c r="E41" i="6" s="1"/>
  <c r="F41" i="6" s="1"/>
  <c r="G41" i="6" s="1"/>
  <c r="H41" i="6" s="1"/>
  <c r="I41" i="6" s="1"/>
  <c r="D40" i="6"/>
  <c r="E40" i="6" s="1"/>
  <c r="F40" i="6" s="1"/>
  <c r="G40" i="6" s="1"/>
  <c r="H40" i="6" s="1"/>
  <c r="I40" i="6" s="1"/>
  <c r="C33" i="6"/>
  <c r="D32" i="6"/>
  <c r="E32" i="6" s="1"/>
  <c r="F32" i="6" s="1"/>
  <c r="G32" i="6" s="1"/>
  <c r="H32" i="6" s="1"/>
  <c r="I32" i="6" s="1"/>
  <c r="D31" i="6"/>
  <c r="E31" i="6" s="1"/>
  <c r="F31" i="6" s="1"/>
  <c r="G31" i="6" s="1"/>
  <c r="H31" i="6" s="1"/>
  <c r="I31" i="6" s="1"/>
  <c r="D30" i="6"/>
  <c r="E30" i="6" s="1"/>
  <c r="F30" i="6" s="1"/>
  <c r="G30" i="6" s="1"/>
  <c r="H30" i="6" s="1"/>
  <c r="I30" i="6" s="1"/>
  <c r="D29" i="6"/>
  <c r="E29" i="6" s="1"/>
  <c r="F29" i="6" s="1"/>
  <c r="G29" i="6" s="1"/>
  <c r="H29" i="6" s="1"/>
  <c r="I29" i="6" s="1"/>
  <c r="D28" i="6"/>
  <c r="I24" i="6"/>
  <c r="J81" i="2" s="1"/>
  <c r="H24" i="6"/>
  <c r="I81" i="2" s="1"/>
  <c r="G24" i="6"/>
  <c r="H81" i="2" s="1"/>
  <c r="F24" i="6"/>
  <c r="G81" i="2" s="1"/>
  <c r="E24" i="6"/>
  <c r="F81" i="2" s="1"/>
  <c r="D24" i="6"/>
  <c r="E81" i="2" s="1"/>
  <c r="C24" i="6"/>
  <c r="D81" i="2" s="1"/>
  <c r="I14" i="6"/>
  <c r="J40" i="2" s="1"/>
  <c r="H14" i="6"/>
  <c r="I40" i="2" s="1"/>
  <c r="G14" i="6"/>
  <c r="H40" i="2" s="1"/>
  <c r="F14" i="6"/>
  <c r="G40" i="2" s="1"/>
  <c r="E14" i="6"/>
  <c r="F40" i="2" s="1"/>
  <c r="D14" i="6"/>
  <c r="E40" i="2" s="1"/>
  <c r="C14" i="6"/>
  <c r="D40" i="2" s="1"/>
  <c r="I98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5" i="4"/>
  <c r="H95" i="4"/>
  <c r="G95" i="4"/>
  <c r="F95" i="4"/>
  <c r="E95" i="4"/>
  <c r="D95" i="4"/>
  <c r="C95" i="4"/>
  <c r="I94" i="4"/>
  <c r="H94" i="4"/>
  <c r="G94" i="4"/>
  <c r="F94" i="4"/>
  <c r="E94" i="4"/>
  <c r="D94" i="4"/>
  <c r="C94" i="4"/>
  <c r="I93" i="4"/>
  <c r="H93" i="4"/>
  <c r="G93" i="4"/>
  <c r="F93" i="4"/>
  <c r="E93" i="4"/>
  <c r="D93" i="4"/>
  <c r="C93" i="4"/>
  <c r="I92" i="4"/>
  <c r="H92" i="4"/>
  <c r="G92" i="4"/>
  <c r="F92" i="4"/>
  <c r="E92" i="4"/>
  <c r="D92" i="4"/>
  <c r="C92" i="4"/>
  <c r="C86" i="4"/>
  <c r="I81" i="4"/>
  <c r="H81" i="4"/>
  <c r="G81" i="4"/>
  <c r="F81" i="4"/>
  <c r="E81" i="4"/>
  <c r="D81" i="4"/>
  <c r="C121" i="4"/>
  <c r="C45" i="4"/>
  <c r="C23" i="5" s="1"/>
  <c r="D44" i="4"/>
  <c r="E44" i="4" s="1"/>
  <c r="I31" i="4"/>
  <c r="H31" i="4"/>
  <c r="G31" i="4"/>
  <c r="F31" i="4"/>
  <c r="E31" i="4"/>
  <c r="D31" i="4"/>
  <c r="C31" i="4"/>
  <c r="I28" i="4"/>
  <c r="I82" i="14" s="1"/>
  <c r="H28" i="4"/>
  <c r="H82" i="14" s="1"/>
  <c r="G28" i="4"/>
  <c r="G82" i="14" s="1"/>
  <c r="F28" i="4"/>
  <c r="F82" i="14" s="1"/>
  <c r="E28" i="4"/>
  <c r="E82" i="14" s="1"/>
  <c r="D28" i="4"/>
  <c r="D82" i="14" s="1"/>
  <c r="I27" i="4"/>
  <c r="H27" i="4"/>
  <c r="G27" i="4"/>
  <c r="F27" i="4"/>
  <c r="E27" i="4"/>
  <c r="D27" i="4"/>
  <c r="C27" i="4"/>
  <c r="D25" i="2" s="1"/>
  <c r="I26" i="4"/>
  <c r="H26" i="4"/>
  <c r="G26" i="4"/>
  <c r="F26" i="4"/>
  <c r="E26" i="4"/>
  <c r="D26" i="4"/>
  <c r="C26" i="4"/>
  <c r="S66" i="1"/>
  <c r="R66" i="1"/>
  <c r="Q66" i="1"/>
  <c r="P66" i="1"/>
  <c r="O66" i="1"/>
  <c r="N66" i="1"/>
  <c r="M66" i="1"/>
  <c r="F66" i="1"/>
  <c r="E66" i="1"/>
  <c r="S65" i="1"/>
  <c r="R65" i="1"/>
  <c r="Q65" i="1"/>
  <c r="P65" i="1"/>
  <c r="O65" i="1"/>
  <c r="N65" i="1"/>
  <c r="M65" i="1"/>
  <c r="K65" i="1"/>
  <c r="J65" i="1"/>
  <c r="I65" i="1"/>
  <c r="H65" i="1"/>
  <c r="G65" i="1"/>
  <c r="F65" i="1"/>
  <c r="F64" i="1" s="1"/>
  <c r="E65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B9" i="1"/>
  <c r="B42" i="1" s="1"/>
  <c r="B7" i="1"/>
  <c r="B4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6" i="1"/>
  <c r="C39" i="1" s="1"/>
  <c r="D58" i="16" l="1"/>
  <c r="D81" i="16" s="1"/>
  <c r="F58" i="16"/>
  <c r="F81" i="16" s="1"/>
  <c r="H58" i="16"/>
  <c r="H81" i="16" s="1"/>
  <c r="E58" i="16"/>
  <c r="G58" i="16"/>
  <c r="D6" i="1"/>
  <c r="D7" i="1" s="1"/>
  <c r="B8" i="1"/>
  <c r="B41" i="1" s="1"/>
  <c r="C9" i="1"/>
  <c r="C10" i="1" s="1"/>
  <c r="C38" i="4"/>
  <c r="C15" i="16"/>
  <c r="E38" i="4"/>
  <c r="E15" i="16"/>
  <c r="E14" i="16" s="1"/>
  <c r="G38" i="4"/>
  <c r="G15" i="16"/>
  <c r="I38" i="4"/>
  <c r="I15" i="16"/>
  <c r="I14" i="16" s="1"/>
  <c r="E25" i="2"/>
  <c r="C75" i="14"/>
  <c r="D25" i="8"/>
  <c r="E75" i="14"/>
  <c r="F25" i="8"/>
  <c r="G75" i="14"/>
  <c r="H25" i="8"/>
  <c r="I75" i="14"/>
  <c r="J25" i="8"/>
  <c r="G57" i="7"/>
  <c r="G16" i="16"/>
  <c r="I57" i="7"/>
  <c r="I16" i="16"/>
  <c r="E81" i="16"/>
  <c r="I81" i="16"/>
  <c r="E73" i="16"/>
  <c r="E70" i="16" s="1"/>
  <c r="G73" i="16"/>
  <c r="G70" i="16" s="1"/>
  <c r="G81" i="16" s="1"/>
  <c r="I73" i="16"/>
  <c r="I70" i="16" s="1"/>
  <c r="D44" i="14"/>
  <c r="D36" i="14"/>
  <c r="C7" i="1"/>
  <c r="C8" i="1" s="1"/>
  <c r="B10" i="1"/>
  <c r="B43" i="1" s="1"/>
  <c r="D38" i="4"/>
  <c r="D15" i="16"/>
  <c r="F38" i="4"/>
  <c r="F15" i="16"/>
  <c r="F14" i="16" s="1"/>
  <c r="H38" i="4"/>
  <c r="H15" i="16"/>
  <c r="H14" i="16" s="1"/>
  <c r="H79" i="16" s="1"/>
  <c r="D75" i="14"/>
  <c r="D85" i="14" s="1"/>
  <c r="E6" i="8" s="1"/>
  <c r="F75" i="14"/>
  <c r="G25" i="8"/>
  <c r="H75" i="14"/>
  <c r="I25" i="8"/>
  <c r="D14" i="16"/>
  <c r="I79" i="16"/>
  <c r="F28" i="8"/>
  <c r="F79" i="16"/>
  <c r="E79" i="16"/>
  <c r="E57" i="7"/>
  <c r="E76" i="7" s="1"/>
  <c r="F19" i="8" s="1"/>
  <c r="D79" i="16"/>
  <c r="C57" i="7"/>
  <c r="C87" i="14" s="1"/>
  <c r="D8" i="8" s="1"/>
  <c r="C16" i="16"/>
  <c r="C14" i="16" s="1"/>
  <c r="C79" i="16" s="1"/>
  <c r="E89" i="6"/>
  <c r="F89" i="6" s="1"/>
  <c r="F25" i="2"/>
  <c r="E88" i="6"/>
  <c r="D33" i="6"/>
  <c r="D34" i="6" s="1"/>
  <c r="E28" i="6"/>
  <c r="E33" i="6" s="1"/>
  <c r="E63" i="7"/>
  <c r="G66" i="1"/>
  <c r="H64" i="3"/>
  <c r="C91" i="9"/>
  <c r="F48" i="9"/>
  <c r="D9" i="1"/>
  <c r="C42" i="1"/>
  <c r="D54" i="6"/>
  <c r="E26" i="2" s="1"/>
  <c r="E51" i="6"/>
  <c r="E54" i="6" s="1"/>
  <c r="F26" i="2" s="1"/>
  <c r="E54" i="12"/>
  <c r="F26" i="8" s="1"/>
  <c r="F71" i="8"/>
  <c r="F80" i="12"/>
  <c r="G71" i="8" s="1"/>
  <c r="D40" i="14"/>
  <c r="E32" i="14"/>
  <c r="E40" i="14" s="1"/>
  <c r="F57" i="7"/>
  <c r="F76" i="7" s="1"/>
  <c r="G19" i="8" s="1"/>
  <c r="H57" i="7"/>
  <c r="H87" i="14" s="1"/>
  <c r="I8" i="8" s="1"/>
  <c r="C124" i="7"/>
  <c r="F29" i="8"/>
  <c r="D57" i="7"/>
  <c r="D87" i="14" s="1"/>
  <c r="E8" i="8" s="1"/>
  <c r="B65" i="15"/>
  <c r="E45" i="9"/>
  <c r="C89" i="9"/>
  <c r="B44" i="15"/>
  <c r="B46" i="15"/>
  <c r="B45" i="15"/>
  <c r="C42" i="15"/>
  <c r="C44" i="14"/>
  <c r="E34" i="14"/>
  <c r="E42" i="14" s="1"/>
  <c r="E35" i="14"/>
  <c r="E43" i="14" s="1"/>
  <c r="C86" i="14"/>
  <c r="D7" i="8" s="1"/>
  <c r="E33" i="14"/>
  <c r="E41" i="14" s="1"/>
  <c r="J27" i="14"/>
  <c r="F32" i="14"/>
  <c r="E36" i="14"/>
  <c r="C38" i="14"/>
  <c r="C64" i="3"/>
  <c r="E64" i="3"/>
  <c r="G64" i="3"/>
  <c r="B64" i="3"/>
  <c r="D64" i="3"/>
  <c r="F64" i="3"/>
  <c r="E44" i="9"/>
  <c r="C88" i="9"/>
  <c r="C92" i="9" s="1"/>
  <c r="C90" i="9"/>
  <c r="C98" i="5"/>
  <c r="E34" i="12"/>
  <c r="G34" i="12"/>
  <c r="G51" i="12"/>
  <c r="F52" i="12"/>
  <c r="G52" i="12" s="1"/>
  <c r="H52" i="12" s="1"/>
  <c r="I52" i="12" s="1"/>
  <c r="G80" i="12"/>
  <c r="F81" i="12"/>
  <c r="G81" i="12" s="1"/>
  <c r="H81" i="12" s="1"/>
  <c r="I81" i="12" s="1"/>
  <c r="G82" i="12"/>
  <c r="F83" i="12"/>
  <c r="G87" i="14"/>
  <c r="H8" i="8" s="1"/>
  <c r="G76" i="7"/>
  <c r="H19" i="8" s="1"/>
  <c r="I87" i="14"/>
  <c r="J8" i="8" s="1"/>
  <c r="I76" i="7"/>
  <c r="J19" i="8" s="1"/>
  <c r="C85" i="14"/>
  <c r="D6" i="8" s="1"/>
  <c r="D143" i="7"/>
  <c r="F143" i="7"/>
  <c r="H143" i="7"/>
  <c r="C123" i="7"/>
  <c r="D17" i="8" s="1"/>
  <c r="C132" i="7"/>
  <c r="C136" i="7" s="1"/>
  <c r="C15" i="5"/>
  <c r="E15" i="5"/>
  <c r="G15" i="5"/>
  <c r="I15" i="5"/>
  <c r="D27" i="8"/>
  <c r="F27" i="8"/>
  <c r="H27" i="8"/>
  <c r="J27" i="8"/>
  <c r="E30" i="8"/>
  <c r="G30" i="8"/>
  <c r="I30" i="8"/>
  <c r="E41" i="8"/>
  <c r="G41" i="8"/>
  <c r="I41" i="8"/>
  <c r="D42" i="8"/>
  <c r="F42" i="8"/>
  <c r="H42" i="8"/>
  <c r="J42" i="8"/>
  <c r="E47" i="8"/>
  <c r="G47" i="8"/>
  <c r="I47" i="8"/>
  <c r="D48" i="8"/>
  <c r="F48" i="8"/>
  <c r="H48" i="8"/>
  <c r="J48" i="8"/>
  <c r="E49" i="8"/>
  <c r="G49" i="8"/>
  <c r="I49" i="8"/>
  <c r="D50" i="8"/>
  <c r="F50" i="8"/>
  <c r="H50" i="8"/>
  <c r="J50" i="8"/>
  <c r="E73" i="8"/>
  <c r="G73" i="8"/>
  <c r="I73" i="8"/>
  <c r="D74" i="8"/>
  <c r="F74" i="8"/>
  <c r="H74" i="8"/>
  <c r="J74" i="8"/>
  <c r="G75" i="8"/>
  <c r="I75" i="8"/>
  <c r="D76" i="8"/>
  <c r="F76" i="8"/>
  <c r="H76" i="8"/>
  <c r="J76" i="8"/>
  <c r="E110" i="8"/>
  <c r="G110" i="8"/>
  <c r="I110" i="8"/>
  <c r="D121" i="8"/>
  <c r="F121" i="8"/>
  <c r="H121" i="8"/>
  <c r="J121" i="8"/>
  <c r="G122" i="8"/>
  <c r="I122" i="8"/>
  <c r="C125" i="7"/>
  <c r="C143" i="7"/>
  <c r="E143" i="7"/>
  <c r="G143" i="7"/>
  <c r="I143" i="7"/>
  <c r="D15" i="5"/>
  <c r="F15" i="5"/>
  <c r="H15" i="5"/>
  <c r="E27" i="8"/>
  <c r="G27" i="8"/>
  <c r="I27" i="8"/>
  <c r="D30" i="8"/>
  <c r="F30" i="8"/>
  <c r="H30" i="8"/>
  <c r="J30" i="8"/>
  <c r="D41" i="8"/>
  <c r="F41" i="8"/>
  <c r="H41" i="8"/>
  <c r="J41" i="8"/>
  <c r="E42" i="8"/>
  <c r="G42" i="8"/>
  <c r="I42" i="8"/>
  <c r="D47" i="8"/>
  <c r="F47" i="8"/>
  <c r="H47" i="8"/>
  <c r="J47" i="8"/>
  <c r="E48" i="8"/>
  <c r="G48" i="8"/>
  <c r="I48" i="8"/>
  <c r="D49" i="8"/>
  <c r="F49" i="8"/>
  <c r="H49" i="8"/>
  <c r="J49" i="8"/>
  <c r="E50" i="8"/>
  <c r="G50" i="8"/>
  <c r="I50" i="8"/>
  <c r="D73" i="8"/>
  <c r="F73" i="8"/>
  <c r="H73" i="8"/>
  <c r="J73" i="8"/>
  <c r="E74" i="8"/>
  <c r="G74" i="8"/>
  <c r="I74" i="8"/>
  <c r="D75" i="8"/>
  <c r="F75" i="8"/>
  <c r="H75" i="8"/>
  <c r="J75" i="8"/>
  <c r="G76" i="8"/>
  <c r="I76" i="8"/>
  <c r="D110" i="8"/>
  <c r="F110" i="8"/>
  <c r="H110" i="8"/>
  <c r="J110" i="8"/>
  <c r="G121" i="8"/>
  <c r="I121" i="8"/>
  <c r="D122" i="8"/>
  <c r="F122" i="8"/>
  <c r="H122" i="8"/>
  <c r="J122" i="8"/>
  <c r="D128" i="7"/>
  <c r="F128" i="7"/>
  <c r="H128" i="7"/>
  <c r="D135" i="7"/>
  <c r="F135" i="7"/>
  <c r="H135" i="7"/>
  <c r="C57" i="3"/>
  <c r="C75" i="3" s="1"/>
  <c r="E57" i="3"/>
  <c r="E76" i="3" s="1"/>
  <c r="G57" i="3"/>
  <c r="G75" i="3" s="1"/>
  <c r="C128" i="7"/>
  <c r="E128" i="7"/>
  <c r="G128" i="7"/>
  <c r="I128" i="7"/>
  <c r="C135" i="7"/>
  <c r="E135" i="7"/>
  <c r="G135" i="7"/>
  <c r="I135" i="7"/>
  <c r="F28" i="6"/>
  <c r="F51" i="6"/>
  <c r="E29" i="2"/>
  <c r="E83" i="6"/>
  <c r="E71" i="2"/>
  <c r="E80" i="6"/>
  <c r="E28" i="2"/>
  <c r="E82" i="6"/>
  <c r="D92" i="14"/>
  <c r="E8" i="2" s="1"/>
  <c r="D57" i="4"/>
  <c r="E19" i="2" s="1"/>
  <c r="H92" i="14"/>
  <c r="I8" i="2" s="1"/>
  <c r="H57" i="4"/>
  <c r="I19" i="2" s="1"/>
  <c r="F92" i="14"/>
  <c r="G8" i="2" s="1"/>
  <c r="F57" i="4"/>
  <c r="G19" i="2" s="1"/>
  <c r="G64" i="1"/>
  <c r="E122" i="2"/>
  <c r="E110" i="2"/>
  <c r="E75" i="2"/>
  <c r="E73" i="2"/>
  <c r="E49" i="2"/>
  <c r="E47" i="2"/>
  <c r="E41" i="2"/>
  <c r="E30" i="2"/>
  <c r="D81" i="14"/>
  <c r="D90" i="14" s="1"/>
  <c r="E76" i="2"/>
  <c r="E50" i="2"/>
  <c r="E42" i="2"/>
  <c r="E27" i="2"/>
  <c r="D14" i="5"/>
  <c r="D44" i="12"/>
  <c r="E121" i="2"/>
  <c r="E74" i="2"/>
  <c r="E48" i="2"/>
  <c r="D44" i="6"/>
  <c r="F81" i="14"/>
  <c r="G122" i="2"/>
  <c r="G110" i="2"/>
  <c r="G75" i="2"/>
  <c r="G73" i="2"/>
  <c r="G49" i="2"/>
  <c r="G47" i="2"/>
  <c r="G41" i="2"/>
  <c r="G30" i="2"/>
  <c r="G121" i="2"/>
  <c r="G74" i="2"/>
  <c r="G48" i="2"/>
  <c r="F44" i="12"/>
  <c r="G76" i="2"/>
  <c r="G50" i="2"/>
  <c r="G42" i="2"/>
  <c r="G27" i="2"/>
  <c r="F14" i="5"/>
  <c r="F44" i="6"/>
  <c r="I122" i="2"/>
  <c r="I110" i="2"/>
  <c r="I75" i="2"/>
  <c r="I73" i="2"/>
  <c r="I49" i="2"/>
  <c r="I47" i="2"/>
  <c r="I41" i="2"/>
  <c r="I30" i="2"/>
  <c r="H81" i="14"/>
  <c r="I76" i="2"/>
  <c r="I50" i="2"/>
  <c r="I42" i="2"/>
  <c r="I27" i="2"/>
  <c r="H14" i="5"/>
  <c r="H44" i="12"/>
  <c r="I121" i="2"/>
  <c r="I74" i="2"/>
  <c r="I48" i="2"/>
  <c r="H44" i="6"/>
  <c r="D63" i="7"/>
  <c r="D67" i="7" s="1"/>
  <c r="D77" i="7" s="1"/>
  <c r="D45" i="4"/>
  <c r="F44" i="4"/>
  <c r="D121" i="2"/>
  <c r="D76" i="2"/>
  <c r="D74" i="2"/>
  <c r="D50" i="2"/>
  <c r="D48" i="2"/>
  <c r="D42" i="2"/>
  <c r="D27" i="2"/>
  <c r="C14" i="5"/>
  <c r="C81" i="14"/>
  <c r="C91" i="14" s="1"/>
  <c r="D7" i="2" s="1"/>
  <c r="D122" i="2"/>
  <c r="D75" i="2"/>
  <c r="D49" i="2"/>
  <c r="D41" i="2"/>
  <c r="C44" i="6"/>
  <c r="D110" i="2"/>
  <c r="D73" i="2"/>
  <c r="D47" i="2"/>
  <c r="D30" i="2"/>
  <c r="C44" i="12"/>
  <c r="E81" i="14"/>
  <c r="F121" i="2"/>
  <c r="F76" i="2"/>
  <c r="F74" i="2"/>
  <c r="F50" i="2"/>
  <c r="F48" i="2"/>
  <c r="F42" i="2"/>
  <c r="F27" i="2"/>
  <c r="E14" i="5"/>
  <c r="F110" i="2"/>
  <c r="F73" i="2"/>
  <c r="F47" i="2"/>
  <c r="F30" i="2"/>
  <c r="E44" i="6"/>
  <c r="F122" i="2"/>
  <c r="F75" i="2"/>
  <c r="F49" i="2"/>
  <c r="F41" i="2"/>
  <c r="E44" i="12"/>
  <c r="G81" i="14"/>
  <c r="H121" i="2"/>
  <c r="H76" i="2"/>
  <c r="H74" i="2"/>
  <c r="H50" i="2"/>
  <c r="H48" i="2"/>
  <c r="H42" i="2"/>
  <c r="H27" i="2"/>
  <c r="G14" i="5"/>
  <c r="H122" i="2"/>
  <c r="H75" i="2"/>
  <c r="H49" i="2"/>
  <c r="H41" i="2"/>
  <c r="G44" i="6"/>
  <c r="H110" i="2"/>
  <c r="H73" i="2"/>
  <c r="H47" i="2"/>
  <c r="H30" i="2"/>
  <c r="G44" i="12"/>
  <c r="I81" i="14"/>
  <c r="J121" i="2"/>
  <c r="J76" i="2"/>
  <c r="J74" i="2"/>
  <c r="J50" i="2"/>
  <c r="J48" i="2"/>
  <c r="J42" i="2"/>
  <c r="J27" i="2"/>
  <c r="I14" i="5"/>
  <c r="I44" i="12"/>
  <c r="J110" i="2"/>
  <c r="J73" i="2"/>
  <c r="J47" i="2"/>
  <c r="J30" i="2"/>
  <c r="I44" i="6"/>
  <c r="J122" i="2"/>
  <c r="J75" i="2"/>
  <c r="J49" i="2"/>
  <c r="J41" i="2"/>
  <c r="C92" i="14"/>
  <c r="D8" i="2" s="1"/>
  <c r="C57" i="4"/>
  <c r="D19" i="2" s="1"/>
  <c r="E92" i="14"/>
  <c r="F8" i="2" s="1"/>
  <c r="E57" i="4"/>
  <c r="F19" i="2" s="1"/>
  <c r="G92" i="14"/>
  <c r="H8" i="2" s="1"/>
  <c r="G57" i="4"/>
  <c r="H19" i="2" s="1"/>
  <c r="I92" i="14"/>
  <c r="J8" i="2" s="1"/>
  <c r="I57" i="4"/>
  <c r="J19" i="2" s="1"/>
  <c r="E45" i="4"/>
  <c r="E23" i="5" s="1"/>
  <c r="E26" i="5" s="1"/>
  <c r="C124" i="4"/>
  <c r="E124" i="4"/>
  <c r="G124" i="4"/>
  <c r="I124" i="4"/>
  <c r="D124" i="4"/>
  <c r="F124" i="4"/>
  <c r="H124" i="4"/>
  <c r="C105" i="7"/>
  <c r="C140" i="7" s="1"/>
  <c r="C109" i="4"/>
  <c r="E109" i="4"/>
  <c r="G109" i="4"/>
  <c r="I109" i="4"/>
  <c r="B58" i="3"/>
  <c r="B80" i="3" s="1"/>
  <c r="D58" i="3"/>
  <c r="D80" i="3" s="1"/>
  <c r="F58" i="3"/>
  <c r="F82" i="3" s="1"/>
  <c r="H58" i="3"/>
  <c r="H82" i="3" s="1"/>
  <c r="E69" i="1"/>
  <c r="M69" i="1" s="1"/>
  <c r="D109" i="4"/>
  <c r="F109" i="4"/>
  <c r="H109" i="4"/>
  <c r="C116" i="4"/>
  <c r="E116" i="4"/>
  <c r="G116" i="4"/>
  <c r="I116" i="4"/>
  <c r="E73" i="1"/>
  <c r="M73" i="1" s="1"/>
  <c r="F77" i="1"/>
  <c r="N77" i="1" s="1"/>
  <c r="D116" i="4"/>
  <c r="F116" i="4"/>
  <c r="H116" i="4"/>
  <c r="E75" i="3"/>
  <c r="B57" i="3"/>
  <c r="D57" i="3"/>
  <c r="F57" i="3"/>
  <c r="H57" i="3"/>
  <c r="C58" i="3"/>
  <c r="E58" i="3"/>
  <c r="G58" i="3"/>
  <c r="C90" i="14"/>
  <c r="E91" i="14"/>
  <c r="F7" i="2" s="1"/>
  <c r="E86" i="14"/>
  <c r="F7" i="8" s="1"/>
  <c r="E59" i="14"/>
  <c r="D91" i="14"/>
  <c r="E7" i="2" s="1"/>
  <c r="D86" i="14"/>
  <c r="E7" i="8" s="1"/>
  <c r="D59" i="14"/>
  <c r="E84" i="1" l="1"/>
  <c r="M84" i="1" s="1"/>
  <c r="B11" i="1"/>
  <c r="E6" i="1"/>
  <c r="E76" i="1"/>
  <c r="M76" i="1" s="1"/>
  <c r="C40" i="1"/>
  <c r="G76" i="1"/>
  <c r="O76" i="1" s="1"/>
  <c r="F73" i="1"/>
  <c r="N73" i="1" s="1"/>
  <c r="G69" i="1"/>
  <c r="O69" i="1" s="1"/>
  <c r="H64" i="1"/>
  <c r="I64" i="1" s="1"/>
  <c r="H18" i="5"/>
  <c r="H156" i="9" s="1"/>
  <c r="G14" i="16"/>
  <c r="G79" i="16" s="1"/>
  <c r="E61" i="3"/>
  <c r="F75" i="16" s="1"/>
  <c r="D18" i="5"/>
  <c r="D156" i="9" s="1"/>
  <c r="D172" i="9" s="1"/>
  <c r="E119" i="8" s="1"/>
  <c r="E67" i="7"/>
  <c r="E77" i="7" s="1"/>
  <c r="E78" i="7" s="1"/>
  <c r="G77" i="1"/>
  <c r="O77" i="1" s="1"/>
  <c r="E79" i="1"/>
  <c r="M79" i="1" s="1"/>
  <c r="F84" i="1"/>
  <c r="N84" i="1" s="1"/>
  <c r="C41" i="1"/>
  <c r="E77" i="1"/>
  <c r="M77" i="1" s="1"/>
  <c r="F69" i="1"/>
  <c r="N69" i="1" s="1"/>
  <c r="F76" i="1"/>
  <c r="N76" i="1" s="1"/>
  <c r="E100" i="3"/>
  <c r="E74" i="3"/>
  <c r="G73" i="1"/>
  <c r="O73" i="1" s="1"/>
  <c r="D17" i="5"/>
  <c r="D136" i="9" s="1"/>
  <c r="F35" i="14"/>
  <c r="D39" i="1"/>
  <c r="C126" i="7"/>
  <c r="D78" i="7"/>
  <c r="H76" i="7"/>
  <c r="I19" i="8" s="1"/>
  <c r="E87" i="14"/>
  <c r="F8" i="8" s="1"/>
  <c r="C76" i="7"/>
  <c r="D19" i="8" s="1"/>
  <c r="C78" i="7"/>
  <c r="H51" i="8"/>
  <c r="D11" i="8"/>
  <c r="B5" i="13" s="1"/>
  <c r="C7" i="16" s="1"/>
  <c r="C129" i="7"/>
  <c r="B82" i="3"/>
  <c r="B94" i="3" s="1"/>
  <c r="C97" i="14"/>
  <c r="C100" i="14" s="1"/>
  <c r="D60" i="8" s="1"/>
  <c r="D61" i="8" s="1"/>
  <c r="C127" i="7"/>
  <c r="D51" i="8"/>
  <c r="G89" i="6"/>
  <c r="G25" i="2"/>
  <c r="F88" i="6"/>
  <c r="E34" i="6"/>
  <c r="E83" i="7"/>
  <c r="H17" i="5"/>
  <c r="H99" i="9" s="1"/>
  <c r="H156" i="5"/>
  <c r="I69" i="8" s="1"/>
  <c r="F80" i="3"/>
  <c r="F92" i="3" s="1"/>
  <c r="B62" i="3"/>
  <c r="C76" i="16" s="1"/>
  <c r="E85" i="14"/>
  <c r="F6" i="8" s="1"/>
  <c r="H62" i="3"/>
  <c r="I76" i="16" s="1"/>
  <c r="G48" i="9"/>
  <c r="F87" i="14"/>
  <c r="G8" i="8" s="1"/>
  <c r="D76" i="7"/>
  <c r="E19" i="8" s="1"/>
  <c r="E11" i="8"/>
  <c r="C5" i="13" s="1"/>
  <c r="C7" i="3" s="1"/>
  <c r="D97" i="14"/>
  <c r="D100" i="14" s="1"/>
  <c r="E60" i="8" s="1"/>
  <c r="E61" i="8" s="1"/>
  <c r="C43" i="1"/>
  <c r="C11" i="1"/>
  <c r="D40" i="1"/>
  <c r="D8" i="1"/>
  <c r="D41" i="1" s="1"/>
  <c r="F54" i="12"/>
  <c r="G26" i="8" s="1"/>
  <c r="B44" i="1"/>
  <c r="B12" i="1"/>
  <c r="E39" i="1"/>
  <c r="E9" i="1"/>
  <c r="E7" i="1"/>
  <c r="F6" i="1"/>
  <c r="D42" i="1"/>
  <c r="D10" i="1"/>
  <c r="B66" i="15"/>
  <c r="G74" i="3"/>
  <c r="F81" i="3"/>
  <c r="F93" i="3" s="1"/>
  <c r="G76" i="3"/>
  <c r="C61" i="3"/>
  <c r="D75" i="16" s="1"/>
  <c r="D81" i="3"/>
  <c r="D93" i="3" s="1"/>
  <c r="F45" i="9"/>
  <c r="C44" i="15"/>
  <c r="C48" i="15" s="1"/>
  <c r="C45" i="15"/>
  <c r="B58" i="15" s="1"/>
  <c r="C46" i="15"/>
  <c r="F34" i="14"/>
  <c r="E97" i="14"/>
  <c r="E100" i="14" s="1"/>
  <c r="F60" i="8" s="1"/>
  <c r="F61" i="8" s="1"/>
  <c r="F33" i="14"/>
  <c r="G33" i="14" s="1"/>
  <c r="D6" i="2"/>
  <c r="D11" i="2" s="1"/>
  <c r="B10" i="13" s="1"/>
  <c r="C4" i="9" s="1"/>
  <c r="C96" i="14"/>
  <c r="C99" i="14" s="1"/>
  <c r="E6" i="2"/>
  <c r="E11" i="2" s="1"/>
  <c r="C10" i="13" s="1"/>
  <c r="D4" i="16" s="1"/>
  <c r="D96" i="14"/>
  <c r="D99" i="14" s="1"/>
  <c r="E60" i="2" s="1"/>
  <c r="E61" i="2" s="1"/>
  <c r="E44" i="14"/>
  <c r="F36" i="14"/>
  <c r="G34" i="14"/>
  <c r="F42" i="14"/>
  <c r="G32" i="14"/>
  <c r="F40" i="14"/>
  <c r="D45" i="14"/>
  <c r="E37" i="14"/>
  <c r="F43" i="14"/>
  <c r="G35" i="14"/>
  <c r="C4" i="12"/>
  <c r="C7" i="14"/>
  <c r="B7" i="3"/>
  <c r="C7" i="9"/>
  <c r="C7" i="5"/>
  <c r="C4" i="7"/>
  <c r="H80" i="3"/>
  <c r="H86" i="3" s="1"/>
  <c r="D82" i="3"/>
  <c r="C94" i="9"/>
  <c r="F44" i="9"/>
  <c r="F18" i="5"/>
  <c r="F141" i="5" s="1"/>
  <c r="G24" i="8" s="1"/>
  <c r="F17" i="5"/>
  <c r="F99" i="9" s="1"/>
  <c r="H110" i="9"/>
  <c r="H28" i="8"/>
  <c r="H82" i="12"/>
  <c r="H80" i="12"/>
  <c r="H71" i="8"/>
  <c r="G54" i="12"/>
  <c r="H26" i="8" s="1"/>
  <c r="H51" i="12"/>
  <c r="G29" i="8"/>
  <c r="G83" i="12"/>
  <c r="G28" i="8"/>
  <c r="E73" i="3"/>
  <c r="H81" i="3"/>
  <c r="H87" i="3" s="1"/>
  <c r="D62" i="3"/>
  <c r="E76" i="16" s="1"/>
  <c r="H141" i="5"/>
  <c r="I24" i="8" s="1"/>
  <c r="H148" i="5"/>
  <c r="I38" i="8" s="1"/>
  <c r="D141" i="5"/>
  <c r="E24" i="8" s="1"/>
  <c r="J51" i="8"/>
  <c r="F51" i="8"/>
  <c r="C133" i="7"/>
  <c r="I51" i="8"/>
  <c r="E51" i="8"/>
  <c r="C134" i="7"/>
  <c r="G51" i="8"/>
  <c r="G73" i="3"/>
  <c r="G100" i="3"/>
  <c r="G61" i="3"/>
  <c r="H75" i="16" s="1"/>
  <c r="C76" i="3"/>
  <c r="C74" i="3"/>
  <c r="F62" i="3"/>
  <c r="G76" i="16" s="1"/>
  <c r="B81" i="3"/>
  <c r="B87" i="3" s="1"/>
  <c r="F28" i="2"/>
  <c r="F82" i="6"/>
  <c r="F71" i="2"/>
  <c r="F80" i="6"/>
  <c r="F29" i="2"/>
  <c r="F83" i="6"/>
  <c r="G51" i="6"/>
  <c r="F54" i="6"/>
  <c r="G26" i="2" s="1"/>
  <c r="D51" i="2"/>
  <c r="F33" i="6"/>
  <c r="F34" i="6" s="1"/>
  <c r="G28" i="6"/>
  <c r="J51" i="2"/>
  <c r="H51" i="2"/>
  <c r="F51" i="2"/>
  <c r="C17" i="5"/>
  <c r="C18" i="5"/>
  <c r="D23" i="5"/>
  <c r="D76" i="4"/>
  <c r="D106" i="4" s="1"/>
  <c r="D72" i="4"/>
  <c r="D64" i="4"/>
  <c r="E64" i="4" s="1"/>
  <c r="I51" i="2"/>
  <c r="E51" i="2"/>
  <c r="I17" i="5"/>
  <c r="I18" i="5"/>
  <c r="G17" i="5"/>
  <c r="G18" i="5"/>
  <c r="E17" i="5"/>
  <c r="E18" i="5"/>
  <c r="F63" i="7"/>
  <c r="F45" i="4"/>
  <c r="F23" i="5" s="1"/>
  <c r="F26" i="5" s="1"/>
  <c r="G44" i="4"/>
  <c r="H66" i="1"/>
  <c r="H69" i="1" s="1"/>
  <c r="P69" i="1" s="1"/>
  <c r="G51" i="2"/>
  <c r="C81" i="3"/>
  <c r="C80" i="3"/>
  <c r="C82" i="3"/>
  <c r="C62" i="3"/>
  <c r="F76" i="3"/>
  <c r="F74" i="3"/>
  <c r="F100" i="3"/>
  <c r="F75" i="3"/>
  <c r="F61" i="3"/>
  <c r="G75" i="16" s="1"/>
  <c r="E81" i="3"/>
  <c r="E82" i="3"/>
  <c r="E80" i="3"/>
  <c r="E62" i="3"/>
  <c r="H76" i="3"/>
  <c r="H74" i="3"/>
  <c r="H100" i="3"/>
  <c r="H75" i="3"/>
  <c r="H61" i="3"/>
  <c r="I75" i="16" s="1"/>
  <c r="I74" i="16" s="1"/>
  <c r="I82" i="16" s="1"/>
  <c r="I84" i="16" s="1"/>
  <c r="D76" i="3"/>
  <c r="D74" i="3"/>
  <c r="D100" i="3"/>
  <c r="D75" i="3"/>
  <c r="D61" i="3"/>
  <c r="E75" i="16" s="1"/>
  <c r="E74" i="16" s="1"/>
  <c r="E82" i="16" s="1"/>
  <c r="E84" i="16" s="1"/>
  <c r="H92" i="3"/>
  <c r="F94" i="3"/>
  <c r="F88" i="3"/>
  <c r="D92" i="3"/>
  <c r="D86" i="3"/>
  <c r="B88" i="3"/>
  <c r="G106" i="8"/>
  <c r="D123" i="7"/>
  <c r="E17" i="8" s="1"/>
  <c r="D124" i="7"/>
  <c r="G81" i="3"/>
  <c r="G80" i="3"/>
  <c r="G82" i="3"/>
  <c r="G62" i="3"/>
  <c r="B76" i="3"/>
  <c r="B74" i="3"/>
  <c r="B100" i="3"/>
  <c r="B75" i="3"/>
  <c r="B61" i="3"/>
  <c r="C75" i="16" s="1"/>
  <c r="C100" i="3"/>
  <c r="H93" i="3"/>
  <c r="H94" i="3"/>
  <c r="H88" i="3"/>
  <c r="F86" i="3"/>
  <c r="D87" i="3"/>
  <c r="D88" i="3"/>
  <c r="B92" i="3"/>
  <c r="B86" i="3"/>
  <c r="H136" i="9"/>
  <c r="H129" i="5"/>
  <c r="I69" i="2" s="1"/>
  <c r="H114" i="5"/>
  <c r="I24" i="2" s="1"/>
  <c r="D121" i="5"/>
  <c r="E38" i="2" s="1"/>
  <c r="H172" i="9"/>
  <c r="I119" i="8" s="1"/>
  <c r="H170" i="9"/>
  <c r="I123" i="8" s="1"/>
  <c r="H168" i="9"/>
  <c r="I118" i="8" s="1"/>
  <c r="H164" i="9"/>
  <c r="I114" i="8" s="1"/>
  <c r="H162" i="9"/>
  <c r="I109" i="8" s="1"/>
  <c r="I107" i="8"/>
  <c r="H173" i="9"/>
  <c r="I56" i="8" s="1"/>
  <c r="I57" i="8" s="1"/>
  <c r="H171" i="9"/>
  <c r="I111" i="8" s="1"/>
  <c r="H169" i="9"/>
  <c r="I120" i="8" s="1"/>
  <c r="H167" i="9"/>
  <c r="I117" i="8" s="1"/>
  <c r="H165" i="9"/>
  <c r="I115" i="8" s="1"/>
  <c r="H163" i="9"/>
  <c r="I113" i="8" s="1"/>
  <c r="I108" i="8"/>
  <c r="I106" i="8"/>
  <c r="D170" i="9"/>
  <c r="E123" i="8" s="1"/>
  <c r="D166" i="9"/>
  <c r="E116" i="8" s="1"/>
  <c r="D162" i="9"/>
  <c r="E109" i="8" s="1"/>
  <c r="E107" i="8"/>
  <c r="D173" i="9"/>
  <c r="E56" i="8" s="1"/>
  <c r="E57" i="8" s="1"/>
  <c r="D169" i="9"/>
  <c r="E120" i="8" s="1"/>
  <c r="D165" i="9"/>
  <c r="E115" i="8" s="1"/>
  <c r="E108" i="8"/>
  <c r="E106" i="8"/>
  <c r="D157" i="9"/>
  <c r="E104" i="8" s="1"/>
  <c r="D132" i="7"/>
  <c r="J64" i="1"/>
  <c r="H73" i="1"/>
  <c r="P73" i="1" s="1"/>
  <c r="F60" i="14"/>
  <c r="F91" i="14"/>
  <c r="G7" i="2" s="1"/>
  <c r="F86" i="14"/>
  <c r="G7" i="8" s="1"/>
  <c r="F59" i="14"/>
  <c r="F67" i="7" l="1"/>
  <c r="F77" i="7" s="1"/>
  <c r="F78" i="7" s="1"/>
  <c r="E123" i="7"/>
  <c r="F17" i="8" s="1"/>
  <c r="E124" i="7"/>
  <c r="H77" i="1"/>
  <c r="P77" i="1" s="1"/>
  <c r="C58" i="15"/>
  <c r="G58" i="15"/>
  <c r="D58" i="15"/>
  <c r="F58" i="15"/>
  <c r="E58" i="15"/>
  <c r="H58" i="15"/>
  <c r="D163" i="9"/>
  <c r="E113" i="8" s="1"/>
  <c r="D167" i="9"/>
  <c r="E117" i="8" s="1"/>
  <c r="D171" i="9"/>
  <c r="E111" i="8" s="1"/>
  <c r="D164" i="9"/>
  <c r="E114" i="8" s="1"/>
  <c r="D168" i="9"/>
  <c r="E118" i="8" s="1"/>
  <c r="D99" i="9"/>
  <c r="D156" i="5"/>
  <c r="E69" i="8" s="1"/>
  <c r="E65" i="3"/>
  <c r="E66" i="3" s="1"/>
  <c r="E68" i="3" s="1"/>
  <c r="G74" i="16"/>
  <c r="G82" i="16" s="1"/>
  <c r="G84" i="16" s="1"/>
  <c r="F110" i="9"/>
  <c r="F156" i="9"/>
  <c r="F172" i="9" s="1"/>
  <c r="G119" i="8" s="1"/>
  <c r="D148" i="5"/>
  <c r="E38" i="8" s="1"/>
  <c r="C69" i="3"/>
  <c r="D110" i="9"/>
  <c r="D114" i="5"/>
  <c r="E24" i="2" s="1"/>
  <c r="D129" i="5"/>
  <c r="E69" i="2" s="1"/>
  <c r="H121" i="5"/>
  <c r="I38" i="2" s="1"/>
  <c r="F114" i="5"/>
  <c r="G24" i="2" s="1"/>
  <c r="B93" i="3"/>
  <c r="E132" i="7"/>
  <c r="E136" i="7" s="1"/>
  <c r="C4" i="4"/>
  <c r="D79" i="3"/>
  <c r="D91" i="3" s="1"/>
  <c r="F124" i="7"/>
  <c r="E134" i="7"/>
  <c r="F11" i="8"/>
  <c r="D5" i="13" s="1"/>
  <c r="E7" i="16" s="1"/>
  <c r="D7" i="5"/>
  <c r="F129" i="5"/>
  <c r="G69" i="2" s="1"/>
  <c r="D4" i="7"/>
  <c r="D7" i="14"/>
  <c r="D7" i="16"/>
  <c r="C74" i="16"/>
  <c r="C82" i="16" s="1"/>
  <c r="C84" i="16" s="1"/>
  <c r="H89" i="6"/>
  <c r="H25" i="2"/>
  <c r="G88" i="6"/>
  <c r="F79" i="3"/>
  <c r="F91" i="3" s="1"/>
  <c r="H79" i="3"/>
  <c r="H91" i="3" s="1"/>
  <c r="F170" i="9"/>
  <c r="G123" i="8" s="1"/>
  <c r="F121" i="5"/>
  <c r="G38" i="2" s="1"/>
  <c r="F136" i="9"/>
  <c r="F150" i="9" s="1"/>
  <c r="G123" i="2" s="1"/>
  <c r="F87" i="3"/>
  <c r="C65" i="3"/>
  <c r="C66" i="3" s="1"/>
  <c r="C68" i="3" s="1"/>
  <c r="D76" i="16"/>
  <c r="C4" i="5"/>
  <c r="C4" i="16"/>
  <c r="G69" i="3"/>
  <c r="H76" i="16"/>
  <c r="H74" i="16" s="1"/>
  <c r="H82" i="16" s="1"/>
  <c r="H84" i="16" s="1"/>
  <c r="E69" i="3"/>
  <c r="F76" i="16"/>
  <c r="F74" i="16" s="1"/>
  <c r="F82" i="16" s="1"/>
  <c r="F84" i="16" s="1"/>
  <c r="D60" i="2"/>
  <c r="D61" i="2" s="1"/>
  <c r="D74" i="16"/>
  <c r="D82" i="16" s="1"/>
  <c r="D84" i="16" s="1"/>
  <c r="D4" i="12"/>
  <c r="D7" i="9"/>
  <c r="F41" i="14"/>
  <c r="H48" i="9"/>
  <c r="H76" i="1"/>
  <c r="P76" i="1" s="1"/>
  <c r="D94" i="3"/>
  <c r="C4" i="14"/>
  <c r="E8" i="1"/>
  <c r="E41" i="1" s="1"/>
  <c r="E40" i="1"/>
  <c r="C12" i="1"/>
  <c r="C44" i="1"/>
  <c r="G84" i="1"/>
  <c r="O84" i="1" s="1"/>
  <c r="F79" i="1"/>
  <c r="N79" i="1" s="1"/>
  <c r="F85" i="3"/>
  <c r="D11" i="1"/>
  <c r="D43" i="1"/>
  <c r="F9" i="1"/>
  <c r="F7" i="1"/>
  <c r="G6" i="1"/>
  <c r="F39" i="1"/>
  <c r="E10" i="1"/>
  <c r="E42" i="1"/>
  <c r="B45" i="1"/>
  <c r="B13" i="1"/>
  <c r="B67" i="15"/>
  <c r="D85" i="3"/>
  <c r="C4" i="6"/>
  <c r="B4" i="3"/>
  <c r="F73" i="3"/>
  <c r="D26" i="9"/>
  <c r="D124" i="9" s="1"/>
  <c r="C26" i="9"/>
  <c r="C124" i="9" s="1"/>
  <c r="G45" i="9"/>
  <c r="F167" i="9"/>
  <c r="G117" i="8" s="1"/>
  <c r="G108" i="8"/>
  <c r="F169" i="9"/>
  <c r="G120" i="8" s="1"/>
  <c r="C4" i="3"/>
  <c r="D4" i="6"/>
  <c r="D4" i="5"/>
  <c r="D4" i="4"/>
  <c r="D4" i="9"/>
  <c r="D4" i="14"/>
  <c r="G40" i="14"/>
  <c r="H32" i="14"/>
  <c r="G42" i="14"/>
  <c r="H34" i="14"/>
  <c r="G41" i="14"/>
  <c r="H33" i="14"/>
  <c r="G43" i="14"/>
  <c r="H35" i="14"/>
  <c r="E45" i="14"/>
  <c r="F37" i="14"/>
  <c r="F44" i="14"/>
  <c r="G36" i="14"/>
  <c r="G85" i="14" s="1"/>
  <c r="F85" i="14"/>
  <c r="E90" i="14"/>
  <c r="B73" i="3"/>
  <c r="B79" i="3"/>
  <c r="F166" i="9"/>
  <c r="G116" i="8" s="1"/>
  <c r="G44" i="9"/>
  <c r="F173" i="9"/>
  <c r="G56" i="8" s="1"/>
  <c r="G57" i="8" s="1"/>
  <c r="G107" i="8"/>
  <c r="F164" i="9"/>
  <c r="G114" i="8" s="1"/>
  <c r="F156" i="5"/>
  <c r="G69" i="8" s="1"/>
  <c r="F148" i="5"/>
  <c r="G38" i="8" s="1"/>
  <c r="I71" i="8"/>
  <c r="I80" i="12"/>
  <c r="J71" i="8" s="1"/>
  <c r="H29" i="8"/>
  <c r="H83" i="12"/>
  <c r="H54" i="12"/>
  <c r="I26" i="8" s="1"/>
  <c r="I51" i="12"/>
  <c r="I54" i="12" s="1"/>
  <c r="J26" i="8" s="1"/>
  <c r="I28" i="8"/>
  <c r="I82" i="12"/>
  <c r="J28" i="8" s="1"/>
  <c r="C73" i="3"/>
  <c r="F83" i="7"/>
  <c r="G83" i="7" s="1"/>
  <c r="G29" i="2"/>
  <c r="G83" i="6"/>
  <c r="G71" i="2"/>
  <c r="G80" i="6"/>
  <c r="G28" i="2"/>
  <c r="G82" i="6"/>
  <c r="G33" i="6"/>
  <c r="G34" i="6" s="1"/>
  <c r="H28" i="6"/>
  <c r="G54" i="6"/>
  <c r="H26" i="2" s="1"/>
  <c r="H51" i="6"/>
  <c r="G79" i="3"/>
  <c r="G85" i="3" s="1"/>
  <c r="H73" i="3"/>
  <c r="E141" i="5"/>
  <c r="F24" i="8" s="1"/>
  <c r="E156" i="5"/>
  <c r="F69" i="8" s="1"/>
  <c r="E110" i="9"/>
  <c r="E156" i="9"/>
  <c r="E148" i="5"/>
  <c r="F38" i="8" s="1"/>
  <c r="G156" i="9"/>
  <c r="G141" i="5"/>
  <c r="H24" i="8" s="1"/>
  <c r="G148" i="5"/>
  <c r="H38" i="8" s="1"/>
  <c r="G110" i="9"/>
  <c r="G156" i="5"/>
  <c r="H69" i="8" s="1"/>
  <c r="I110" i="9"/>
  <c r="I156" i="5"/>
  <c r="J69" i="8" s="1"/>
  <c r="I156" i="9"/>
  <c r="I141" i="5"/>
  <c r="J24" i="8" s="1"/>
  <c r="I148" i="5"/>
  <c r="J38" i="8" s="1"/>
  <c r="F64" i="4"/>
  <c r="E76" i="4"/>
  <c r="E106" i="4" s="1"/>
  <c r="D94" i="7"/>
  <c r="D86" i="4"/>
  <c r="D121" i="4" s="1"/>
  <c r="C156" i="9"/>
  <c r="C153" i="5"/>
  <c r="D66" i="8" s="1"/>
  <c r="C156" i="5"/>
  <c r="D69" i="8" s="1"/>
  <c r="C138" i="5"/>
  <c r="D20" i="8" s="1"/>
  <c r="C110" i="9"/>
  <c r="C141" i="5"/>
  <c r="D24" i="8" s="1"/>
  <c r="C148" i="5"/>
  <c r="D38" i="8" s="1"/>
  <c r="D73" i="3"/>
  <c r="G63" i="7"/>
  <c r="G45" i="4"/>
  <c r="G23" i="5" s="1"/>
  <c r="G26" i="5" s="1"/>
  <c r="H44" i="4"/>
  <c r="I66" i="1"/>
  <c r="E114" i="5"/>
  <c r="F24" i="2" s="1"/>
  <c r="E99" i="9"/>
  <c r="E121" i="5"/>
  <c r="F38" i="2" s="1"/>
  <c r="E136" i="9"/>
  <c r="E129" i="5"/>
  <c r="F69" i="2" s="1"/>
  <c r="G136" i="9"/>
  <c r="G129" i="5"/>
  <c r="H69" i="2" s="1"/>
  <c r="G114" i="5"/>
  <c r="H24" i="2" s="1"/>
  <c r="G99" i="9"/>
  <c r="G121" i="5"/>
  <c r="H38" i="2" s="1"/>
  <c r="I114" i="5"/>
  <c r="J24" i="2" s="1"/>
  <c r="I99" i="9"/>
  <c r="I121" i="5"/>
  <c r="J38" i="2" s="1"/>
  <c r="I136" i="9"/>
  <c r="I129" i="5"/>
  <c r="J69" i="2" s="1"/>
  <c r="D90" i="7"/>
  <c r="E72" i="4"/>
  <c r="D53" i="5"/>
  <c r="D57" i="5"/>
  <c r="D45" i="5"/>
  <c r="D49" i="5"/>
  <c r="E49" i="5" s="1"/>
  <c r="F49" i="5" s="1"/>
  <c r="C114" i="5"/>
  <c r="D24" i="2" s="1"/>
  <c r="C99" i="9"/>
  <c r="C121" i="5"/>
  <c r="D38" i="2" s="1"/>
  <c r="C126" i="5"/>
  <c r="D66" i="2" s="1"/>
  <c r="C136" i="9"/>
  <c r="C129" i="5"/>
  <c r="D69" i="2" s="1"/>
  <c r="C111" i="5"/>
  <c r="D20" i="2" s="1"/>
  <c r="K64" i="1"/>
  <c r="D136" i="7"/>
  <c r="D134" i="7"/>
  <c r="D133" i="7"/>
  <c r="H152" i="9"/>
  <c r="I119" i="2" s="1"/>
  <c r="H151" i="9"/>
  <c r="I111" i="2" s="1"/>
  <c r="H150" i="9"/>
  <c r="I123" i="2" s="1"/>
  <c r="H148" i="9"/>
  <c r="I118" i="2" s="1"/>
  <c r="H144" i="9"/>
  <c r="I114" i="2" s="1"/>
  <c r="H142" i="9"/>
  <c r="I109" i="2" s="1"/>
  <c r="I107" i="2"/>
  <c r="H153" i="9"/>
  <c r="H149" i="9"/>
  <c r="I120" i="2" s="1"/>
  <c r="H147" i="9"/>
  <c r="I117" i="2" s="1"/>
  <c r="H145" i="9"/>
  <c r="I115" i="2" s="1"/>
  <c r="H143" i="9"/>
  <c r="I113" i="2" s="1"/>
  <c r="I108" i="2"/>
  <c r="I106" i="2"/>
  <c r="G94" i="3"/>
  <c r="G88" i="3"/>
  <c r="E92" i="3"/>
  <c r="E86" i="3"/>
  <c r="E79" i="3"/>
  <c r="G65" i="3"/>
  <c r="G66" i="3" s="1"/>
  <c r="F69" i="3"/>
  <c r="F65" i="3"/>
  <c r="F66" i="3" s="1"/>
  <c r="C92" i="3"/>
  <c r="C86" i="3"/>
  <c r="C93" i="3"/>
  <c r="C87" i="3"/>
  <c r="D152" i="9"/>
  <c r="E119" i="2" s="1"/>
  <c r="D150" i="9"/>
  <c r="E123" i="2" s="1"/>
  <c r="D148" i="9"/>
  <c r="E118" i="2" s="1"/>
  <c r="D146" i="9"/>
  <c r="E116" i="2" s="1"/>
  <c r="D144" i="9"/>
  <c r="E114" i="2" s="1"/>
  <c r="D142" i="9"/>
  <c r="E109" i="2" s="1"/>
  <c r="E107" i="2"/>
  <c r="D153" i="9"/>
  <c r="E56" i="2" s="1"/>
  <c r="E57" i="2" s="1"/>
  <c r="D151" i="9"/>
  <c r="E111" i="2" s="1"/>
  <c r="D149" i="9"/>
  <c r="E120" i="2" s="1"/>
  <c r="D147" i="9"/>
  <c r="E117" i="2" s="1"/>
  <c r="D145" i="9"/>
  <c r="E115" i="2" s="1"/>
  <c r="D143" i="9"/>
  <c r="E113" i="2" s="1"/>
  <c r="E108" i="2"/>
  <c r="E106" i="2"/>
  <c r="D137" i="9"/>
  <c r="E104" i="2" s="1"/>
  <c r="C70" i="3"/>
  <c r="C67" i="3"/>
  <c r="E70" i="3"/>
  <c r="E67" i="3"/>
  <c r="B69" i="3"/>
  <c r="B65" i="3"/>
  <c r="B66" i="3" s="1"/>
  <c r="G92" i="3"/>
  <c r="G86" i="3"/>
  <c r="G93" i="3"/>
  <c r="G87" i="3"/>
  <c r="F146" i="9"/>
  <c r="G116" i="2" s="1"/>
  <c r="G107" i="2"/>
  <c r="F147" i="9"/>
  <c r="G117" i="2" s="1"/>
  <c r="G108" i="2"/>
  <c r="G106" i="2"/>
  <c r="D69" i="3"/>
  <c r="D65" i="3"/>
  <c r="D66" i="3" s="1"/>
  <c r="H69" i="3"/>
  <c r="H65" i="3"/>
  <c r="H66" i="3" s="1"/>
  <c r="E94" i="3"/>
  <c r="E88" i="3"/>
  <c r="E93" i="3"/>
  <c r="E87" i="3"/>
  <c r="C94" i="3"/>
  <c r="C88" i="3"/>
  <c r="C79" i="3"/>
  <c r="G60" i="14"/>
  <c r="G91" i="14"/>
  <c r="H7" i="2" s="1"/>
  <c r="G86" i="14"/>
  <c r="H7" i="8" s="1"/>
  <c r="G59" i="14"/>
  <c r="F123" i="7" l="1"/>
  <c r="G17" i="8" s="1"/>
  <c r="F132" i="7"/>
  <c r="F136" i="7" s="1"/>
  <c r="F152" i="9"/>
  <c r="G119" i="2" s="1"/>
  <c r="F171" i="9"/>
  <c r="G111" i="8" s="1"/>
  <c r="F143" i="9"/>
  <c r="G113" i="2" s="1"/>
  <c r="F151" i="9"/>
  <c r="G111" i="2" s="1"/>
  <c r="F142" i="9"/>
  <c r="G109" i="2" s="1"/>
  <c r="F168" i="9"/>
  <c r="G118" i="8" s="1"/>
  <c r="F162" i="9"/>
  <c r="G109" i="8" s="1"/>
  <c r="F165" i="9"/>
  <c r="G115" i="8" s="1"/>
  <c r="F157" i="9"/>
  <c r="G104" i="8" s="1"/>
  <c r="F163" i="9"/>
  <c r="G113" i="8" s="1"/>
  <c r="E133" i="7"/>
  <c r="F134" i="7"/>
  <c r="E7" i="5"/>
  <c r="E7" i="9"/>
  <c r="E7" i="14"/>
  <c r="D7" i="3"/>
  <c r="E4" i="7"/>
  <c r="E4" i="12"/>
  <c r="G91" i="3"/>
  <c r="G96" i="3" s="1"/>
  <c r="G15" i="13" s="1"/>
  <c r="F96" i="3"/>
  <c r="F15" i="13" s="1"/>
  <c r="D96" i="3"/>
  <c r="D15" i="13" s="1"/>
  <c r="F137" i="9"/>
  <c r="G104" i="2" s="1"/>
  <c r="F145" i="9"/>
  <c r="G115" i="2" s="1"/>
  <c r="F149" i="9"/>
  <c r="G120" i="2" s="1"/>
  <c r="F144" i="9"/>
  <c r="G114" i="2" s="1"/>
  <c r="F148" i="9"/>
  <c r="G118" i="2" s="1"/>
  <c r="F153" i="9"/>
  <c r="G56" i="2" s="1"/>
  <c r="G57" i="2" s="1"/>
  <c r="H85" i="3"/>
  <c r="H96" i="3" s="1"/>
  <c r="H15" i="13" s="1"/>
  <c r="I89" i="6"/>
  <c r="J25" i="2" s="1"/>
  <c r="I25" i="2"/>
  <c r="H88" i="6"/>
  <c r="I48" i="9"/>
  <c r="B46" i="1"/>
  <c r="B14" i="1"/>
  <c r="F40" i="1"/>
  <c r="F8" i="1"/>
  <c r="F41" i="1" s="1"/>
  <c r="C45" i="1"/>
  <c r="C13" i="1"/>
  <c r="I84" i="1" s="1"/>
  <c r="Q84" i="1" s="1"/>
  <c r="E82" i="1"/>
  <c r="M82" i="1" s="1"/>
  <c r="G79" i="1"/>
  <c r="O79" i="1" s="1"/>
  <c r="E91" i="1"/>
  <c r="M91" i="1" s="1"/>
  <c r="H84" i="1"/>
  <c r="P84" i="1" s="1"/>
  <c r="E43" i="1"/>
  <c r="E11" i="1"/>
  <c r="E71" i="1"/>
  <c r="M71" i="1" s="1"/>
  <c r="G39" i="1"/>
  <c r="G9" i="1"/>
  <c r="G7" i="1"/>
  <c r="F42" i="1"/>
  <c r="F10" i="1"/>
  <c r="D44" i="1"/>
  <c r="D12" i="1"/>
  <c r="E75" i="1"/>
  <c r="M75" i="1" s="1"/>
  <c r="B68" i="15"/>
  <c r="C173" i="9"/>
  <c r="D56" i="8" s="1"/>
  <c r="D57" i="8" s="1"/>
  <c r="C171" i="9"/>
  <c r="D111" i="8" s="1"/>
  <c r="C172" i="9"/>
  <c r="D119" i="8" s="1"/>
  <c r="C166" i="9"/>
  <c r="D116" i="8" s="1"/>
  <c r="C153" i="9"/>
  <c r="D56" i="2" s="1"/>
  <c r="D57" i="2" s="1"/>
  <c r="C152" i="9"/>
  <c r="C151" i="9"/>
  <c r="D111" i="2" s="1"/>
  <c r="C146" i="9"/>
  <c r="I26" i="9"/>
  <c r="E26" i="9"/>
  <c r="E124" i="9" s="1"/>
  <c r="F26" i="9"/>
  <c r="F124" i="9" s="1"/>
  <c r="G26" i="9"/>
  <c r="G124" i="9" s="1"/>
  <c r="H26" i="9"/>
  <c r="H45" i="9"/>
  <c r="H124" i="9"/>
  <c r="H6" i="8"/>
  <c r="G97" i="14"/>
  <c r="G100" i="14" s="1"/>
  <c r="H60" i="8" s="1"/>
  <c r="H61" i="8" s="1"/>
  <c r="H11" i="8"/>
  <c r="F5" i="13" s="1"/>
  <c r="G6" i="8"/>
  <c r="G11" i="8" s="1"/>
  <c r="E5" i="13" s="1"/>
  <c r="F97" i="14"/>
  <c r="F100" i="14" s="1"/>
  <c r="G60" i="8" s="1"/>
  <c r="G61" i="8" s="1"/>
  <c r="F6" i="2"/>
  <c r="F11" i="2" s="1"/>
  <c r="D10" i="13" s="1"/>
  <c r="E96" i="14"/>
  <c r="E99" i="14" s="1"/>
  <c r="F60" i="2" s="1"/>
  <c r="F61" i="2" s="1"/>
  <c r="E4" i="5"/>
  <c r="I34" i="14"/>
  <c r="I42" i="14" s="1"/>
  <c r="H42" i="14"/>
  <c r="G44" i="14"/>
  <c r="H36" i="14"/>
  <c r="F45" i="14"/>
  <c r="G37" i="14"/>
  <c r="F90" i="14"/>
  <c r="H43" i="14"/>
  <c r="I35" i="14"/>
  <c r="I43" i="14" s="1"/>
  <c r="H41" i="14"/>
  <c r="I33" i="14"/>
  <c r="I32" i="14"/>
  <c r="H40" i="14"/>
  <c r="B91" i="3"/>
  <c r="B85" i="3"/>
  <c r="H44" i="9"/>
  <c r="G49" i="5"/>
  <c r="I29" i="8"/>
  <c r="I83" i="12"/>
  <c r="J29" i="8" s="1"/>
  <c r="C99" i="3"/>
  <c r="C16" i="13" s="1"/>
  <c r="C11" i="15" s="1"/>
  <c r="F133" i="7"/>
  <c r="H54" i="6"/>
  <c r="I26" i="2" s="1"/>
  <c r="I51" i="6"/>
  <c r="I54" i="6" s="1"/>
  <c r="J26" i="2" s="1"/>
  <c r="H33" i="6"/>
  <c r="H34" i="6" s="1"/>
  <c r="I28" i="6"/>
  <c r="I33" i="6" s="1"/>
  <c r="H28" i="2"/>
  <c r="H82" i="6"/>
  <c r="H71" i="2"/>
  <c r="H80" i="6"/>
  <c r="H29" i="2"/>
  <c r="H83" i="6"/>
  <c r="C104" i="9"/>
  <c r="D103" i="2" s="1"/>
  <c r="C102" i="9"/>
  <c r="D101" i="2" s="1"/>
  <c r="C103" i="9"/>
  <c r="D102" i="2" s="1"/>
  <c r="C100" i="9"/>
  <c r="C101" i="9"/>
  <c r="D100" i="2" s="1"/>
  <c r="D83" i="5"/>
  <c r="E57" i="5"/>
  <c r="E53" i="5"/>
  <c r="E90" i="7"/>
  <c r="F72" i="4"/>
  <c r="I147" i="9"/>
  <c r="J117" i="2" s="1"/>
  <c r="I150" i="9"/>
  <c r="J123" i="2" s="1"/>
  <c r="I142" i="9"/>
  <c r="J109" i="2" s="1"/>
  <c r="I151" i="9"/>
  <c r="J111" i="2" s="1"/>
  <c r="I149" i="9"/>
  <c r="J120" i="2" s="1"/>
  <c r="I145" i="9"/>
  <c r="J115" i="2" s="1"/>
  <c r="J108" i="2"/>
  <c r="I148" i="9"/>
  <c r="J118" i="2" s="1"/>
  <c r="I144" i="9"/>
  <c r="J114" i="2" s="1"/>
  <c r="J107" i="2"/>
  <c r="I153" i="9"/>
  <c r="I152" i="9"/>
  <c r="J119" i="2" s="1"/>
  <c r="I143" i="9"/>
  <c r="J113" i="2" s="1"/>
  <c r="J106" i="2"/>
  <c r="G153" i="9"/>
  <c r="H56" i="2" s="1"/>
  <c r="H57" i="2" s="1"/>
  <c r="G149" i="9"/>
  <c r="H120" i="2" s="1"/>
  <c r="G145" i="9"/>
  <c r="H115" i="2" s="1"/>
  <c r="H108" i="2"/>
  <c r="G137" i="9"/>
  <c r="H104" i="2" s="1"/>
  <c r="G150" i="9"/>
  <c r="H123" i="2" s="1"/>
  <c r="G146" i="9"/>
  <c r="H116" i="2" s="1"/>
  <c r="G142" i="9"/>
  <c r="H109" i="2" s="1"/>
  <c r="G151" i="9"/>
  <c r="H111" i="2" s="1"/>
  <c r="G147" i="9"/>
  <c r="H117" i="2" s="1"/>
  <c r="G143" i="9"/>
  <c r="H113" i="2" s="1"/>
  <c r="H106" i="2"/>
  <c r="G152" i="9"/>
  <c r="H119" i="2" s="1"/>
  <c r="G148" i="9"/>
  <c r="H118" i="2" s="1"/>
  <c r="G144" i="9"/>
  <c r="H114" i="2" s="1"/>
  <c r="H107" i="2"/>
  <c r="E153" i="9"/>
  <c r="F56" i="2" s="1"/>
  <c r="F57" i="2" s="1"/>
  <c r="E147" i="9"/>
  <c r="F117" i="2" s="1"/>
  <c r="F106" i="2"/>
  <c r="E142" i="9"/>
  <c r="F109" i="2" s="1"/>
  <c r="E152" i="9"/>
  <c r="F119" i="2" s="1"/>
  <c r="E149" i="9"/>
  <c r="F120" i="2" s="1"/>
  <c r="E145" i="9"/>
  <c r="F115" i="2" s="1"/>
  <c r="F108" i="2"/>
  <c r="E137" i="9"/>
  <c r="F104" i="2" s="1"/>
  <c r="E148" i="9"/>
  <c r="F118" i="2" s="1"/>
  <c r="E144" i="9"/>
  <c r="F114" i="2" s="1"/>
  <c r="F107" i="2"/>
  <c r="E151" i="9"/>
  <c r="F111" i="2" s="1"/>
  <c r="E143" i="9"/>
  <c r="F113" i="2" s="1"/>
  <c r="E150" i="9"/>
  <c r="F123" i="2" s="1"/>
  <c r="E146" i="9"/>
  <c r="F116" i="2" s="1"/>
  <c r="I77" i="1"/>
  <c r="Q77" i="1" s="1"/>
  <c r="I73" i="1"/>
  <c r="Q73" i="1" s="1"/>
  <c r="I69" i="1"/>
  <c r="Q69" i="1" s="1"/>
  <c r="I76" i="1"/>
  <c r="Q76" i="1" s="1"/>
  <c r="E94" i="7"/>
  <c r="E86" i="4"/>
  <c r="E121" i="4" s="1"/>
  <c r="F76" i="4"/>
  <c r="F106" i="4" s="1"/>
  <c r="G64" i="4"/>
  <c r="G173" i="9"/>
  <c r="H56" i="8" s="1"/>
  <c r="H57" i="8" s="1"/>
  <c r="G169" i="9"/>
  <c r="H120" i="8" s="1"/>
  <c r="G165" i="9"/>
  <c r="H115" i="8" s="1"/>
  <c r="H108" i="8"/>
  <c r="G157" i="9"/>
  <c r="H104" i="8" s="1"/>
  <c r="G170" i="9"/>
  <c r="H123" i="8" s="1"/>
  <c r="G166" i="9"/>
  <c r="H116" i="8" s="1"/>
  <c r="G162" i="9"/>
  <c r="H109" i="8" s="1"/>
  <c r="G171" i="9"/>
  <c r="H111" i="8" s="1"/>
  <c r="G167" i="9"/>
  <c r="H117" i="8" s="1"/>
  <c r="G163" i="9"/>
  <c r="H113" i="8" s="1"/>
  <c r="H106" i="8"/>
  <c r="G172" i="9"/>
  <c r="H119" i="8" s="1"/>
  <c r="G168" i="9"/>
  <c r="H118" i="8" s="1"/>
  <c r="G164" i="9"/>
  <c r="H114" i="8" s="1"/>
  <c r="H107" i="8"/>
  <c r="E173" i="9"/>
  <c r="F56" i="8" s="1"/>
  <c r="F57" i="8" s="1"/>
  <c r="E169" i="9"/>
  <c r="F120" i="8" s="1"/>
  <c r="E165" i="9"/>
  <c r="F115" i="8" s="1"/>
  <c r="F108" i="8"/>
  <c r="E157" i="9"/>
  <c r="F104" i="8" s="1"/>
  <c r="E170" i="9"/>
  <c r="F123" i="8" s="1"/>
  <c r="E166" i="9"/>
  <c r="F116" i="8" s="1"/>
  <c r="E162" i="9"/>
  <c r="F109" i="8" s="1"/>
  <c r="E171" i="9"/>
  <c r="F111" i="8" s="1"/>
  <c r="E167" i="9"/>
  <c r="F117" i="8" s="1"/>
  <c r="E163" i="9"/>
  <c r="F113" i="8" s="1"/>
  <c r="F106" i="8"/>
  <c r="E172" i="9"/>
  <c r="F119" i="8" s="1"/>
  <c r="E168" i="9"/>
  <c r="F118" i="8" s="1"/>
  <c r="E164" i="9"/>
  <c r="F114" i="8" s="1"/>
  <c r="F107" i="8"/>
  <c r="E99" i="3"/>
  <c r="E16" i="13" s="1"/>
  <c r="E11" i="15" s="1"/>
  <c r="C149" i="9"/>
  <c r="D120" i="2" s="1"/>
  <c r="C145" i="9"/>
  <c r="D115" i="2" s="1"/>
  <c r="D108" i="2"/>
  <c r="C137" i="9"/>
  <c r="D104" i="2" s="1"/>
  <c r="C150" i="9"/>
  <c r="D123" i="2" s="1"/>
  <c r="D116" i="2"/>
  <c r="C142" i="9"/>
  <c r="D109" i="2" s="1"/>
  <c r="C147" i="9"/>
  <c r="D117" i="2" s="1"/>
  <c r="C143" i="9"/>
  <c r="D113" i="2" s="1"/>
  <c r="D106" i="2"/>
  <c r="D119" i="2"/>
  <c r="C148" i="9"/>
  <c r="D118" i="2" s="1"/>
  <c r="C144" i="9"/>
  <c r="D114" i="2" s="1"/>
  <c r="D107" i="2"/>
  <c r="D98" i="5"/>
  <c r="E45" i="5"/>
  <c r="H63" i="7"/>
  <c r="H45" i="4"/>
  <c r="H23" i="5" s="1"/>
  <c r="H26" i="5" s="1"/>
  <c r="I44" i="4"/>
  <c r="J66" i="1"/>
  <c r="C112" i="9"/>
  <c r="D100" i="8" s="1"/>
  <c r="C113" i="9"/>
  <c r="D101" i="8" s="1"/>
  <c r="C114" i="9"/>
  <c r="D102" i="8" s="1"/>
  <c r="C115" i="9"/>
  <c r="D103" i="8" s="1"/>
  <c r="C111" i="9"/>
  <c r="C167" i="9"/>
  <c r="D117" i="8" s="1"/>
  <c r="C163" i="9"/>
  <c r="D113" i="8" s="1"/>
  <c r="D106" i="8"/>
  <c r="C168" i="9"/>
  <c r="D118" i="8" s="1"/>
  <c r="C164" i="9"/>
  <c r="D114" i="8" s="1"/>
  <c r="D107" i="8"/>
  <c r="C169" i="9"/>
  <c r="D120" i="8" s="1"/>
  <c r="C165" i="9"/>
  <c r="D115" i="8" s="1"/>
  <c r="D108" i="8"/>
  <c r="C157" i="9"/>
  <c r="D104" i="8" s="1"/>
  <c r="C170" i="9"/>
  <c r="D123" i="8" s="1"/>
  <c r="C162" i="9"/>
  <c r="D109" i="8" s="1"/>
  <c r="D105" i="7"/>
  <c r="D140" i="7" s="1"/>
  <c r="D125" i="7"/>
  <c r="I171" i="9"/>
  <c r="J111" i="8" s="1"/>
  <c r="I167" i="9"/>
  <c r="J117" i="8" s="1"/>
  <c r="I163" i="9"/>
  <c r="J113" i="8" s="1"/>
  <c r="J106" i="8"/>
  <c r="I172" i="9"/>
  <c r="J119" i="8" s="1"/>
  <c r="I168" i="9"/>
  <c r="J118" i="8" s="1"/>
  <c r="I164" i="9"/>
  <c r="J114" i="8" s="1"/>
  <c r="J107" i="8"/>
  <c r="I173" i="9"/>
  <c r="J56" i="8" s="1"/>
  <c r="J57" i="8" s="1"/>
  <c r="I169" i="9"/>
  <c r="J120" i="8" s="1"/>
  <c r="I165" i="9"/>
  <c r="J115" i="8" s="1"/>
  <c r="J108" i="8"/>
  <c r="I170" i="9"/>
  <c r="J123" i="8" s="1"/>
  <c r="I162" i="9"/>
  <c r="J109" i="8" s="1"/>
  <c r="C91" i="3"/>
  <c r="C85" i="3"/>
  <c r="H70" i="3"/>
  <c r="H67" i="3"/>
  <c r="H68" i="3"/>
  <c r="D67" i="3"/>
  <c r="D70" i="3"/>
  <c r="D68" i="3"/>
  <c r="B67" i="3"/>
  <c r="B70" i="3"/>
  <c r="B68" i="3"/>
  <c r="E91" i="3"/>
  <c r="E85" i="3"/>
  <c r="F70" i="3"/>
  <c r="F67" i="3"/>
  <c r="F68" i="3"/>
  <c r="G68" i="3"/>
  <c r="G70" i="3"/>
  <c r="G67" i="3"/>
  <c r="H83" i="7"/>
  <c r="I60" i="14"/>
  <c r="H60" i="14"/>
  <c r="H91" i="14"/>
  <c r="I7" i="2" s="1"/>
  <c r="H86" i="14"/>
  <c r="I7" i="8" s="1"/>
  <c r="H59" i="14"/>
  <c r="I124" i="9" l="1"/>
  <c r="E7" i="3"/>
  <c r="F7" i="16"/>
  <c r="F7" i="3"/>
  <c r="G7" i="16"/>
  <c r="I88" i="6"/>
  <c r="J56" i="2"/>
  <c r="J57" i="2" s="1"/>
  <c r="E4" i="9"/>
  <c r="E4" i="16"/>
  <c r="G4" i="7"/>
  <c r="F7" i="14"/>
  <c r="G7" i="5"/>
  <c r="F4" i="12"/>
  <c r="F7" i="5"/>
  <c r="D26" i="13"/>
  <c r="D13" i="15" s="1"/>
  <c r="G10" i="1"/>
  <c r="G42" i="1"/>
  <c r="I34" i="6"/>
  <c r="I56" i="2"/>
  <c r="I57" i="2" s="1"/>
  <c r="D13" i="1"/>
  <c r="D45" i="1"/>
  <c r="E74" i="1"/>
  <c r="M74" i="1" s="1"/>
  <c r="F75" i="1"/>
  <c r="N75" i="1" s="1"/>
  <c r="F11" i="1"/>
  <c r="F43" i="1"/>
  <c r="G8" i="1"/>
  <c r="G41" i="1" s="1"/>
  <c r="G40" i="1"/>
  <c r="E44" i="1"/>
  <c r="E12" i="1"/>
  <c r="F71" i="1"/>
  <c r="N71" i="1" s="1"/>
  <c r="C46" i="1"/>
  <c r="C14" i="1"/>
  <c r="F91" i="1"/>
  <c r="N91" i="1" s="1"/>
  <c r="F82" i="1"/>
  <c r="N82" i="1" s="1"/>
  <c r="H79" i="1"/>
  <c r="P79" i="1" s="1"/>
  <c r="B15" i="1"/>
  <c r="B47" i="1"/>
  <c r="G67" i="7"/>
  <c r="B69" i="15"/>
  <c r="I45" i="9"/>
  <c r="H157" i="9"/>
  <c r="I104" i="8" s="1"/>
  <c r="H137" i="9"/>
  <c r="I104" i="2" s="1"/>
  <c r="F7" i="9"/>
  <c r="F4" i="7"/>
  <c r="G7" i="9"/>
  <c r="G7" i="14"/>
  <c r="G4" i="12"/>
  <c r="E4" i="6"/>
  <c r="G6" i="2"/>
  <c r="G11" i="2" s="1"/>
  <c r="E10" i="13" s="1"/>
  <c r="F96" i="14"/>
  <c r="F99" i="14" s="1"/>
  <c r="G60" i="2" s="1"/>
  <c r="G61" i="2" s="1"/>
  <c r="E4" i="14"/>
  <c r="E4" i="4"/>
  <c r="D4" i="3"/>
  <c r="G45" i="14"/>
  <c r="H37" i="14"/>
  <c r="G90" i="14"/>
  <c r="H44" i="14"/>
  <c r="I36" i="14"/>
  <c r="I44" i="14" s="1"/>
  <c r="H85" i="14"/>
  <c r="I40" i="14"/>
  <c r="I41" i="14"/>
  <c r="B96" i="3"/>
  <c r="B15" i="13" s="1"/>
  <c r="B26" i="13" s="1"/>
  <c r="C96" i="3"/>
  <c r="C15" i="13" s="1"/>
  <c r="C26" i="13" s="1"/>
  <c r="H146" i="9"/>
  <c r="I116" i="2" s="1"/>
  <c r="I44" i="9"/>
  <c r="H166" i="9"/>
  <c r="I116" i="8" s="1"/>
  <c r="F99" i="3"/>
  <c r="F16" i="13" s="1"/>
  <c r="F11" i="15" s="1"/>
  <c r="D99" i="3"/>
  <c r="D16" i="13" s="1"/>
  <c r="I29" i="2"/>
  <c r="I83" i="6"/>
  <c r="J29" i="2" s="1"/>
  <c r="I71" i="2"/>
  <c r="I80" i="6"/>
  <c r="J71" i="2" s="1"/>
  <c r="I28" i="2"/>
  <c r="I82" i="6"/>
  <c r="J28" i="2" s="1"/>
  <c r="D126" i="7"/>
  <c r="D127" i="7"/>
  <c r="D129" i="7"/>
  <c r="G99" i="3"/>
  <c r="G16" i="13" s="1"/>
  <c r="B99" i="3"/>
  <c r="B16" i="13" s="1"/>
  <c r="H99" i="3"/>
  <c r="H16" i="13" s="1"/>
  <c r="C117" i="9"/>
  <c r="D99" i="8"/>
  <c r="I63" i="7"/>
  <c r="I45" i="4"/>
  <c r="I23" i="5" s="1"/>
  <c r="I26" i="5" s="1"/>
  <c r="K66" i="1"/>
  <c r="D153" i="5"/>
  <c r="E66" i="8" s="1"/>
  <c r="D126" i="5"/>
  <c r="E66" i="2" s="1"/>
  <c r="G76" i="4"/>
  <c r="G106" i="4" s="1"/>
  <c r="F94" i="7"/>
  <c r="F86" i="4"/>
  <c r="F121" i="4" s="1"/>
  <c r="E83" i="5"/>
  <c r="F57" i="5"/>
  <c r="H49" i="5"/>
  <c r="C106" i="9"/>
  <c r="D99" i="2"/>
  <c r="J84" i="1"/>
  <c r="R84" i="1" s="1"/>
  <c r="J76" i="1"/>
  <c r="R76" i="1" s="1"/>
  <c r="J77" i="1"/>
  <c r="R77" i="1" s="1"/>
  <c r="J73" i="1"/>
  <c r="R73" i="1" s="1"/>
  <c r="J69" i="1"/>
  <c r="R69" i="1" s="1"/>
  <c r="E98" i="5"/>
  <c r="F45" i="5"/>
  <c r="H64" i="4"/>
  <c r="E125" i="7"/>
  <c r="E105" i="7"/>
  <c r="E140" i="7" s="1"/>
  <c r="F53" i="5"/>
  <c r="F90" i="7"/>
  <c r="G72" i="4"/>
  <c r="D138" i="5"/>
  <c r="E20" i="8" s="1"/>
  <c r="D111" i="5"/>
  <c r="E20" i="2" s="1"/>
  <c r="F17" i="13"/>
  <c r="E96" i="3"/>
  <c r="E15" i="13" s="1"/>
  <c r="C17" i="13"/>
  <c r="I91" i="14"/>
  <c r="J7" i="2" s="1"/>
  <c r="I86" i="14"/>
  <c r="J7" i="8" s="1"/>
  <c r="I59" i="14"/>
  <c r="I64" i="4" l="1"/>
  <c r="F4" i="5"/>
  <c r="F4" i="16"/>
  <c r="I85" i="14"/>
  <c r="J6" i="8" s="1"/>
  <c r="J11" i="8" s="1"/>
  <c r="H5" i="13" s="1"/>
  <c r="D4" i="15"/>
  <c r="E45" i="1"/>
  <c r="E13" i="1"/>
  <c r="G71" i="1"/>
  <c r="O71" i="1" s="1"/>
  <c r="G77" i="7"/>
  <c r="G78" i="7" s="1"/>
  <c r="B48" i="1"/>
  <c r="B16" i="1"/>
  <c r="C47" i="1"/>
  <c r="C15" i="1"/>
  <c r="G91" i="1"/>
  <c r="O91" i="1" s="1"/>
  <c r="E87" i="1"/>
  <c r="M87" i="1" s="1"/>
  <c r="G82" i="1"/>
  <c r="O82" i="1" s="1"/>
  <c r="E95" i="1"/>
  <c r="M95" i="1" s="1"/>
  <c r="E70" i="1"/>
  <c r="M70" i="1" s="1"/>
  <c r="I79" i="1"/>
  <c r="Q79" i="1" s="1"/>
  <c r="F44" i="1"/>
  <c r="F12" i="1"/>
  <c r="D46" i="1"/>
  <c r="D14" i="1"/>
  <c r="G75" i="1"/>
  <c r="O75" i="1" s="1"/>
  <c r="F74" i="1"/>
  <c r="N74" i="1" s="1"/>
  <c r="G43" i="1"/>
  <c r="G11" i="1"/>
  <c r="H67" i="7"/>
  <c r="B70" i="15"/>
  <c r="I137" i="9"/>
  <c r="J104" i="2" s="1"/>
  <c r="I157" i="9"/>
  <c r="J104" i="8" s="1"/>
  <c r="B13" i="15"/>
  <c r="B4" i="15"/>
  <c r="C13" i="15"/>
  <c r="C4" i="15"/>
  <c r="I6" i="8"/>
  <c r="I11" i="8" s="1"/>
  <c r="G5" i="13" s="1"/>
  <c r="H97" i="14"/>
  <c r="H100" i="14" s="1"/>
  <c r="I60" i="8" s="1"/>
  <c r="I61" i="8" s="1"/>
  <c r="F4" i="4"/>
  <c r="F4" i="9"/>
  <c r="E4" i="3"/>
  <c r="F4" i="6"/>
  <c r="F4" i="14"/>
  <c r="H6" i="2"/>
  <c r="H11" i="2" s="1"/>
  <c r="F10" i="13" s="1"/>
  <c r="G96" i="14"/>
  <c r="G99" i="14" s="1"/>
  <c r="H60" i="2" s="1"/>
  <c r="H61" i="2" s="1"/>
  <c r="B17" i="13"/>
  <c r="B11" i="15"/>
  <c r="H17" i="13"/>
  <c r="H11" i="15"/>
  <c r="G17" i="13"/>
  <c r="G11" i="15"/>
  <c r="D17" i="13"/>
  <c r="D11" i="15"/>
  <c r="H45" i="14"/>
  <c r="I37" i="14"/>
  <c r="H90" i="14"/>
  <c r="I166" i="9"/>
  <c r="J116" i="8" s="1"/>
  <c r="I146" i="9"/>
  <c r="J116" i="2" s="1"/>
  <c r="I83" i="7"/>
  <c r="G53" i="5"/>
  <c r="G90" i="7"/>
  <c r="H72" i="4"/>
  <c r="E129" i="7"/>
  <c r="E126" i="7"/>
  <c r="E127" i="7"/>
  <c r="F98" i="5"/>
  <c r="G45" i="5"/>
  <c r="I49" i="5"/>
  <c r="E138" i="5"/>
  <c r="F20" i="8" s="1"/>
  <c r="E111" i="5"/>
  <c r="F20" i="2" s="1"/>
  <c r="G94" i="7"/>
  <c r="G86" i="4"/>
  <c r="G121" i="4" s="1"/>
  <c r="H76" i="4"/>
  <c r="H106" i="4" s="1"/>
  <c r="K77" i="1"/>
  <c r="S77" i="1" s="1"/>
  <c r="K84" i="1"/>
  <c r="S84" i="1" s="1"/>
  <c r="K69" i="1"/>
  <c r="S69" i="1" s="1"/>
  <c r="K73" i="1"/>
  <c r="S73" i="1" s="1"/>
  <c r="K76" i="1"/>
  <c r="S76" i="1" s="1"/>
  <c r="E153" i="5"/>
  <c r="F66" i="8" s="1"/>
  <c r="E126" i="5"/>
  <c r="F66" i="2" s="1"/>
  <c r="G57" i="5"/>
  <c r="F83" i="5"/>
  <c r="F105" i="7"/>
  <c r="F140" i="7" s="1"/>
  <c r="F125" i="7"/>
  <c r="E26" i="13"/>
  <c r="E17" i="13"/>
  <c r="I97" i="14" l="1"/>
  <c r="I100" i="14" s="1"/>
  <c r="J60" i="8" s="1"/>
  <c r="J61" i="8" s="1"/>
  <c r="G7" i="3"/>
  <c r="H7" i="16"/>
  <c r="I4" i="12"/>
  <c r="I7" i="16"/>
  <c r="F26" i="13"/>
  <c r="F13" i="15" s="1"/>
  <c r="G4" i="16"/>
  <c r="H7" i="3"/>
  <c r="G4" i="4"/>
  <c r="G4" i="5"/>
  <c r="I7" i="5"/>
  <c r="I4" i="7"/>
  <c r="H7" i="5"/>
  <c r="H77" i="7"/>
  <c r="H132" i="7" s="1"/>
  <c r="G124" i="7"/>
  <c r="G12" i="1"/>
  <c r="G44" i="1"/>
  <c r="D47" i="1"/>
  <c r="D15" i="1"/>
  <c r="G74" i="1"/>
  <c r="O74" i="1" s="1"/>
  <c r="H75" i="1"/>
  <c r="P75" i="1" s="1"/>
  <c r="F45" i="1"/>
  <c r="F13" i="1"/>
  <c r="C16" i="1"/>
  <c r="C48" i="1"/>
  <c r="E72" i="1"/>
  <c r="M72" i="1" s="1"/>
  <c r="F95" i="1"/>
  <c r="N95" i="1" s="1"/>
  <c r="E83" i="1"/>
  <c r="M83" i="1" s="1"/>
  <c r="F70" i="1"/>
  <c r="N70" i="1" s="1"/>
  <c r="F87" i="1"/>
  <c r="N87" i="1" s="1"/>
  <c r="H91" i="1"/>
  <c r="P91" i="1" s="1"/>
  <c r="H82" i="1"/>
  <c r="P82" i="1" s="1"/>
  <c r="J79" i="1"/>
  <c r="R79" i="1" s="1"/>
  <c r="B49" i="1"/>
  <c r="B17" i="1"/>
  <c r="G132" i="7"/>
  <c r="G123" i="7"/>
  <c r="H17" i="8" s="1"/>
  <c r="I67" i="7"/>
  <c r="E14" i="1"/>
  <c r="E46" i="1"/>
  <c r="H71" i="1"/>
  <c r="P71" i="1" s="1"/>
  <c r="B71" i="15"/>
  <c r="E13" i="15"/>
  <c r="E4" i="15"/>
  <c r="I7" i="9"/>
  <c r="I7" i="14"/>
  <c r="H4" i="7"/>
  <c r="F4" i="3"/>
  <c r="H7" i="9"/>
  <c r="H7" i="14"/>
  <c r="H4" i="12"/>
  <c r="I6" i="2"/>
  <c r="I11" i="2" s="1"/>
  <c r="G10" i="13" s="1"/>
  <c r="H96" i="14"/>
  <c r="H99" i="14" s="1"/>
  <c r="I60" i="2" s="1"/>
  <c r="I61" i="2" s="1"/>
  <c r="G4" i="9"/>
  <c r="G4" i="6"/>
  <c r="G4" i="14"/>
  <c r="I45" i="14"/>
  <c r="I90" i="14"/>
  <c r="G83" i="5"/>
  <c r="H57" i="5"/>
  <c r="I76" i="4"/>
  <c r="I106" i="4" s="1"/>
  <c r="H94" i="7"/>
  <c r="H86" i="4"/>
  <c r="H121" i="4" s="1"/>
  <c r="F126" i="5"/>
  <c r="G66" i="2" s="1"/>
  <c r="F153" i="5"/>
  <c r="G66" i="8" s="1"/>
  <c r="H90" i="7"/>
  <c r="I72" i="4"/>
  <c r="H53" i="5"/>
  <c r="F126" i="7"/>
  <c r="F127" i="7"/>
  <c r="F129" i="7"/>
  <c r="F111" i="5"/>
  <c r="G20" i="2" s="1"/>
  <c r="F138" i="5"/>
  <c r="G20" i="8" s="1"/>
  <c r="G125" i="7"/>
  <c r="G105" i="7"/>
  <c r="G140" i="7" s="1"/>
  <c r="H45" i="5"/>
  <c r="G98" i="5"/>
  <c r="F4" i="15" l="1"/>
  <c r="H4" i="14"/>
  <c r="H4" i="16"/>
  <c r="E47" i="1"/>
  <c r="E15" i="1"/>
  <c r="E94" i="1"/>
  <c r="M94" i="1" s="1"/>
  <c r="I71" i="1"/>
  <c r="Q71" i="1" s="1"/>
  <c r="B50" i="1"/>
  <c r="B18" i="1"/>
  <c r="F46" i="1"/>
  <c r="F14" i="1"/>
  <c r="D48" i="1"/>
  <c r="D16" i="1"/>
  <c r="H74" i="1"/>
  <c r="P74" i="1" s="1"/>
  <c r="I75" i="1"/>
  <c r="Q75" i="1" s="1"/>
  <c r="H136" i="7"/>
  <c r="H134" i="7"/>
  <c r="H133" i="7"/>
  <c r="I77" i="7"/>
  <c r="I78" i="7" s="1"/>
  <c r="G134" i="7"/>
  <c r="G133" i="7"/>
  <c r="G136" i="7"/>
  <c r="C49" i="1"/>
  <c r="C17" i="1"/>
  <c r="G95" i="1"/>
  <c r="O95" i="1" s="1"/>
  <c r="G87" i="1"/>
  <c r="O87" i="1" s="1"/>
  <c r="F83" i="1"/>
  <c r="N83" i="1" s="1"/>
  <c r="G70" i="1"/>
  <c r="O70" i="1" s="1"/>
  <c r="F72" i="1"/>
  <c r="N72" i="1" s="1"/>
  <c r="I91" i="1"/>
  <c r="Q91" i="1" s="1"/>
  <c r="I82" i="1"/>
  <c r="Q82" i="1" s="1"/>
  <c r="K79" i="1"/>
  <c r="S79" i="1" s="1"/>
  <c r="G45" i="1"/>
  <c r="G13" i="1"/>
  <c r="H78" i="7"/>
  <c r="H123" i="7"/>
  <c r="I17" i="8" s="1"/>
  <c r="H124" i="7"/>
  <c r="B72" i="15"/>
  <c r="H4" i="6"/>
  <c r="H4" i="9"/>
  <c r="J6" i="2"/>
  <c r="J11" i="2" s="1"/>
  <c r="H10" i="13" s="1"/>
  <c r="I96" i="14"/>
  <c r="I99" i="14" s="1"/>
  <c r="J60" i="2" s="1"/>
  <c r="J61" i="2" s="1"/>
  <c r="G4" i="3"/>
  <c r="H4" i="4"/>
  <c r="H4" i="5"/>
  <c r="G26" i="13"/>
  <c r="I45" i="5"/>
  <c r="H98" i="5"/>
  <c r="G129" i="7"/>
  <c r="G127" i="7"/>
  <c r="G126" i="7"/>
  <c r="I94" i="7"/>
  <c r="I86" i="4"/>
  <c r="H83" i="5"/>
  <c r="I57" i="5"/>
  <c r="I83" i="5" s="1"/>
  <c r="G153" i="5"/>
  <c r="H66" i="8" s="1"/>
  <c r="G126" i="5"/>
  <c r="H66" i="2" s="1"/>
  <c r="I53" i="5"/>
  <c r="I90" i="7"/>
  <c r="I121" i="4"/>
  <c r="H105" i="7"/>
  <c r="H140" i="7" s="1"/>
  <c r="H125" i="7"/>
  <c r="G138" i="5"/>
  <c r="H20" i="8" s="1"/>
  <c r="G111" i="5"/>
  <c r="H20" i="2" s="1"/>
  <c r="I132" i="7" l="1"/>
  <c r="I134" i="7" s="1"/>
  <c r="I123" i="7"/>
  <c r="J17" i="8" s="1"/>
  <c r="I4" i="6"/>
  <c r="I4" i="16"/>
  <c r="G46" i="1"/>
  <c r="G14" i="1"/>
  <c r="C50" i="1"/>
  <c r="C18" i="1"/>
  <c r="G83" i="1"/>
  <c r="O83" i="1" s="1"/>
  <c r="G72" i="1"/>
  <c r="O72" i="1" s="1"/>
  <c r="H95" i="1"/>
  <c r="P95" i="1" s="1"/>
  <c r="H70" i="1"/>
  <c r="P70" i="1" s="1"/>
  <c r="H87" i="1"/>
  <c r="P87" i="1" s="1"/>
  <c r="J82" i="1"/>
  <c r="R82" i="1" s="1"/>
  <c r="J91" i="1"/>
  <c r="R91" i="1" s="1"/>
  <c r="I124" i="7"/>
  <c r="D17" i="1"/>
  <c r="D49" i="1"/>
  <c r="I74" i="1"/>
  <c r="Q74" i="1" s="1"/>
  <c r="J75" i="1"/>
  <c r="R75" i="1" s="1"/>
  <c r="F15" i="1"/>
  <c r="F47" i="1"/>
  <c r="B19" i="1"/>
  <c r="B51" i="1"/>
  <c r="E48" i="1"/>
  <c r="E16" i="1"/>
  <c r="F94" i="1"/>
  <c r="N94" i="1" s="1"/>
  <c r="J71" i="1"/>
  <c r="R71" i="1" s="1"/>
  <c r="B73" i="15"/>
  <c r="H26" i="13"/>
  <c r="G13" i="15"/>
  <c r="G4" i="15"/>
  <c r="H4" i="3"/>
  <c r="I4" i="5"/>
  <c r="I4" i="14"/>
  <c r="I4" i="4"/>
  <c r="I4" i="9"/>
  <c r="H126" i="7"/>
  <c r="H127" i="7"/>
  <c r="H129" i="7"/>
  <c r="H111" i="5"/>
  <c r="I20" i="2" s="1"/>
  <c r="H138" i="5"/>
  <c r="I125" i="7"/>
  <c r="I105" i="7"/>
  <c r="I140" i="7" s="1"/>
  <c r="I98" i="5"/>
  <c r="I138" i="5"/>
  <c r="I111" i="5"/>
  <c r="J20" i="2" s="1"/>
  <c r="H126" i="5"/>
  <c r="I66" i="2" s="1"/>
  <c r="H153" i="5"/>
  <c r="I66" i="8" s="1"/>
  <c r="I136" i="7" l="1"/>
  <c r="I133" i="7"/>
  <c r="J20" i="8"/>
  <c r="E49" i="1"/>
  <c r="E17" i="1"/>
  <c r="E80" i="1"/>
  <c r="M80" i="1" s="1"/>
  <c r="G94" i="1"/>
  <c r="O94" i="1" s="1"/>
  <c r="K71" i="1"/>
  <c r="S71" i="1" s="1"/>
  <c r="C51" i="1"/>
  <c r="C19" i="1"/>
  <c r="E92" i="1"/>
  <c r="M92" i="1" s="1"/>
  <c r="H83" i="1"/>
  <c r="P83" i="1" s="1"/>
  <c r="H72" i="1"/>
  <c r="P72" i="1" s="1"/>
  <c r="I70" i="1"/>
  <c r="Q70" i="1" s="1"/>
  <c r="I95" i="1"/>
  <c r="Q95" i="1" s="1"/>
  <c r="I87" i="1"/>
  <c r="Q87" i="1" s="1"/>
  <c r="K82" i="1"/>
  <c r="S82" i="1" s="1"/>
  <c r="K91" i="1"/>
  <c r="S91" i="1" s="1"/>
  <c r="G47" i="1"/>
  <c r="G15" i="1"/>
  <c r="B52" i="1"/>
  <c r="B20" i="1"/>
  <c r="F48" i="1"/>
  <c r="F16" i="1"/>
  <c r="E93" i="1"/>
  <c r="M93" i="1" s="1"/>
  <c r="D50" i="1"/>
  <c r="D18" i="1"/>
  <c r="J74" i="1"/>
  <c r="R74" i="1" s="1"/>
  <c r="K75" i="1"/>
  <c r="S75" i="1" s="1"/>
  <c r="B74" i="15"/>
  <c r="H13" i="15"/>
  <c r="H4" i="15"/>
  <c r="I129" i="7"/>
  <c r="I126" i="7"/>
  <c r="I127" i="7"/>
  <c r="I126" i="5"/>
  <c r="J66" i="2" s="1"/>
  <c r="I153" i="5"/>
  <c r="J66" i="8" s="1"/>
  <c r="I20" i="8"/>
  <c r="B76" i="15" l="1"/>
  <c r="C138" i="9" s="1"/>
  <c r="D105" i="2" s="1"/>
  <c r="D124" i="2" s="1"/>
  <c r="F49" i="1"/>
  <c r="F17" i="1"/>
  <c r="F93" i="1"/>
  <c r="N93" i="1" s="1"/>
  <c r="B53" i="1"/>
  <c r="B21" i="1"/>
  <c r="G16" i="1"/>
  <c r="G48" i="1"/>
  <c r="C20" i="1"/>
  <c r="C52" i="1"/>
  <c r="E88" i="1"/>
  <c r="M88" i="1" s="1"/>
  <c r="F92" i="1"/>
  <c r="N92" i="1" s="1"/>
  <c r="I72" i="1"/>
  <c r="Q72" i="1" s="1"/>
  <c r="I83" i="1"/>
  <c r="Q83" i="1" s="1"/>
  <c r="J87" i="1"/>
  <c r="R87" i="1" s="1"/>
  <c r="J70" i="1"/>
  <c r="R70" i="1" s="1"/>
  <c r="J95" i="1"/>
  <c r="R95" i="1" s="1"/>
  <c r="D51" i="1"/>
  <c r="D19" i="1"/>
  <c r="K74" i="1"/>
  <c r="S74" i="1" s="1"/>
  <c r="E18" i="1"/>
  <c r="E50" i="1"/>
  <c r="E90" i="1"/>
  <c r="M90" i="1" s="1"/>
  <c r="F80" i="1"/>
  <c r="N80" i="1" s="1"/>
  <c r="H94" i="1"/>
  <c r="P94" i="1" s="1"/>
  <c r="C63" i="15"/>
  <c r="C158" i="9" l="1"/>
  <c r="D105" i="8" s="1"/>
  <c r="D124" i="8" s="1"/>
  <c r="E51" i="1"/>
  <c r="E19" i="1"/>
  <c r="G80" i="1"/>
  <c r="O80" i="1" s="1"/>
  <c r="E81" i="1"/>
  <c r="M81" i="1" s="1"/>
  <c r="F90" i="1"/>
  <c r="N90" i="1" s="1"/>
  <c r="I94" i="1"/>
  <c r="Q94" i="1" s="1"/>
  <c r="D52" i="1"/>
  <c r="D20" i="1"/>
  <c r="C53" i="1"/>
  <c r="C21" i="1"/>
  <c r="F88" i="1"/>
  <c r="N88" i="1" s="1"/>
  <c r="G92" i="1"/>
  <c r="O92" i="1" s="1"/>
  <c r="J72" i="1"/>
  <c r="R72" i="1" s="1"/>
  <c r="J83" i="1"/>
  <c r="R83" i="1" s="1"/>
  <c r="K95" i="1"/>
  <c r="S95" i="1" s="1"/>
  <c r="K87" i="1"/>
  <c r="S87" i="1" s="1"/>
  <c r="K70" i="1"/>
  <c r="S70" i="1" s="1"/>
  <c r="G49" i="1"/>
  <c r="G17" i="1"/>
  <c r="F50" i="1"/>
  <c r="F18" i="1"/>
  <c r="G93" i="1"/>
  <c r="O93" i="1" s="1"/>
  <c r="B54" i="1"/>
  <c r="B22" i="1"/>
  <c r="C64" i="15"/>
  <c r="B23" i="1" l="1"/>
  <c r="B55" i="1"/>
  <c r="F19" i="1"/>
  <c r="F51" i="1"/>
  <c r="H93" i="1"/>
  <c r="P93" i="1" s="1"/>
  <c r="G50" i="1"/>
  <c r="G18" i="1"/>
  <c r="C54" i="1"/>
  <c r="C22" i="1"/>
  <c r="G88" i="1"/>
  <c r="O88" i="1" s="1"/>
  <c r="H92" i="1"/>
  <c r="P92" i="1" s="1"/>
  <c r="K72" i="1"/>
  <c r="S72" i="1" s="1"/>
  <c r="K83" i="1"/>
  <c r="S83" i="1" s="1"/>
  <c r="D21" i="1"/>
  <c r="D53" i="1"/>
  <c r="E52" i="1"/>
  <c r="E20" i="1"/>
  <c r="F81" i="1"/>
  <c r="N81" i="1" s="1"/>
  <c r="G90" i="1"/>
  <c r="O90" i="1" s="1"/>
  <c r="H80" i="1"/>
  <c r="P80" i="1" s="1"/>
  <c r="J94" i="1"/>
  <c r="R94" i="1" s="1"/>
  <c r="C65" i="15"/>
  <c r="D54" i="1" l="1"/>
  <c r="D22" i="1"/>
  <c r="E53" i="1"/>
  <c r="E21" i="1"/>
  <c r="G81" i="1"/>
  <c r="O81" i="1" s="1"/>
  <c r="H90" i="1"/>
  <c r="P90" i="1" s="1"/>
  <c r="I80" i="1"/>
  <c r="Q80" i="1" s="1"/>
  <c r="K94" i="1"/>
  <c r="S94" i="1" s="1"/>
  <c r="C55" i="1"/>
  <c r="C23" i="1"/>
  <c r="E85" i="1"/>
  <c r="M85" i="1" s="1"/>
  <c r="H88" i="1"/>
  <c r="P88" i="1" s="1"/>
  <c r="I92" i="1"/>
  <c r="Q92" i="1" s="1"/>
  <c r="G51" i="1"/>
  <c r="G19" i="1"/>
  <c r="F52" i="1"/>
  <c r="F20" i="1"/>
  <c r="I93" i="1"/>
  <c r="Q93" i="1" s="1"/>
  <c r="B56" i="1"/>
  <c r="B24" i="1"/>
  <c r="C66" i="15"/>
  <c r="B57" i="1" l="1"/>
  <c r="B25" i="1"/>
  <c r="C24" i="1"/>
  <c r="C56" i="1"/>
  <c r="E68" i="1"/>
  <c r="F85" i="1"/>
  <c r="N85" i="1" s="1"/>
  <c r="I88" i="1"/>
  <c r="Q88" i="1" s="1"/>
  <c r="J92" i="1"/>
  <c r="R92" i="1" s="1"/>
  <c r="E22" i="1"/>
  <c r="E54" i="1"/>
  <c r="H81" i="1"/>
  <c r="P81" i="1" s="1"/>
  <c r="I90" i="1"/>
  <c r="Q90" i="1" s="1"/>
  <c r="J80" i="1"/>
  <c r="R80" i="1" s="1"/>
  <c r="D55" i="1"/>
  <c r="D23" i="1"/>
  <c r="F53" i="1"/>
  <c r="F21" i="1"/>
  <c r="J93" i="1"/>
  <c r="R93" i="1" s="1"/>
  <c r="G20" i="1"/>
  <c r="G52" i="1"/>
  <c r="C67" i="15"/>
  <c r="B58" i="1" l="1"/>
  <c r="B26" i="1"/>
  <c r="G53" i="1"/>
  <c r="G21" i="1"/>
  <c r="F54" i="1"/>
  <c r="F22" i="1"/>
  <c r="E78" i="1"/>
  <c r="M78" i="1" s="1"/>
  <c r="K93" i="1"/>
  <c r="S93" i="1" s="1"/>
  <c r="D56" i="1"/>
  <c r="D24" i="1"/>
  <c r="E55" i="1"/>
  <c r="E23" i="1"/>
  <c r="I81" i="1"/>
  <c r="Q81" i="1" s="1"/>
  <c r="J90" i="1"/>
  <c r="R90" i="1" s="1"/>
  <c r="K80" i="1"/>
  <c r="S80" i="1" s="1"/>
  <c r="M68" i="1"/>
  <c r="E97" i="1"/>
  <c r="C57" i="1"/>
  <c r="C25" i="1"/>
  <c r="G85" i="1"/>
  <c r="O85" i="1" s="1"/>
  <c r="F68" i="1"/>
  <c r="J88" i="1"/>
  <c r="R88" i="1" s="1"/>
  <c r="K92" i="1"/>
  <c r="S92" i="1" s="1"/>
  <c r="C68" i="15"/>
  <c r="M97" i="1" l="1"/>
  <c r="C58" i="4" s="1"/>
  <c r="M98" i="1"/>
  <c r="C59" i="4" s="1"/>
  <c r="E56" i="1"/>
  <c r="E24" i="1"/>
  <c r="J81" i="1"/>
  <c r="R81" i="1" s="1"/>
  <c r="K90" i="1"/>
  <c r="S90" i="1" s="1"/>
  <c r="D25" i="1"/>
  <c r="D57" i="1"/>
  <c r="F23" i="1"/>
  <c r="F55" i="1"/>
  <c r="F78" i="1"/>
  <c r="N78" i="1" s="1"/>
  <c r="G54" i="1"/>
  <c r="G22" i="1"/>
  <c r="B27" i="1"/>
  <c r="B60" i="1" s="1"/>
  <c r="B59" i="1"/>
  <c r="N68" i="1"/>
  <c r="F97" i="1"/>
  <c r="C58" i="1"/>
  <c r="C26" i="1"/>
  <c r="G68" i="1"/>
  <c r="H85" i="1"/>
  <c r="P85" i="1" s="1"/>
  <c r="K88" i="1"/>
  <c r="S88" i="1" s="1"/>
  <c r="C32" i="5"/>
  <c r="C35" i="5"/>
  <c r="C90" i="5" s="1"/>
  <c r="C86" i="7"/>
  <c r="C139" i="7" s="1"/>
  <c r="C48" i="4"/>
  <c r="C41" i="5"/>
  <c r="C82" i="5" s="1"/>
  <c r="C29" i="5"/>
  <c r="C97" i="5" s="1"/>
  <c r="C68" i="4"/>
  <c r="C120" i="4" s="1"/>
  <c r="C69" i="15"/>
  <c r="C100" i="5" l="1"/>
  <c r="C152" i="5"/>
  <c r="D65" i="8" s="1"/>
  <c r="C102" i="5"/>
  <c r="C99" i="5"/>
  <c r="C125" i="5"/>
  <c r="D65" i="2" s="1"/>
  <c r="C113" i="4"/>
  <c r="C104" i="4"/>
  <c r="D17" i="2" s="1"/>
  <c r="C105" i="4"/>
  <c r="C92" i="5"/>
  <c r="C145" i="5"/>
  <c r="D35" i="8" s="1"/>
  <c r="C94" i="5"/>
  <c r="C91" i="5"/>
  <c r="C118" i="5"/>
  <c r="O68" i="1"/>
  <c r="N98" i="1"/>
  <c r="D59" i="4" s="1"/>
  <c r="N97" i="1"/>
  <c r="D58" i="4" s="1"/>
  <c r="E57" i="1"/>
  <c r="E25" i="1"/>
  <c r="K81" i="1"/>
  <c r="S81" i="1" s="1"/>
  <c r="C125" i="4"/>
  <c r="C123" i="4"/>
  <c r="C122" i="4"/>
  <c r="C84" i="5"/>
  <c r="C85" i="5"/>
  <c r="C137" i="5"/>
  <c r="C87" i="5"/>
  <c r="C110" i="5"/>
  <c r="C141" i="7"/>
  <c r="C142" i="7"/>
  <c r="C59" i="1"/>
  <c r="C27" i="1"/>
  <c r="H68" i="1"/>
  <c r="I85" i="1"/>
  <c r="Q85" i="1" s="1"/>
  <c r="D69" i="9"/>
  <c r="D86" i="7"/>
  <c r="D139" i="7" s="1"/>
  <c r="D79" i="9"/>
  <c r="D59" i="9"/>
  <c r="D64" i="9"/>
  <c r="D41" i="5"/>
  <c r="D29" i="5"/>
  <c r="D97" i="5" s="1"/>
  <c r="D68" i="4"/>
  <c r="D120" i="4" s="1"/>
  <c r="D74" i="9"/>
  <c r="D32" i="5"/>
  <c r="D35" i="5"/>
  <c r="D90" i="5" s="1"/>
  <c r="D48" i="4"/>
  <c r="G55" i="1"/>
  <c r="G23" i="1"/>
  <c r="F56" i="1"/>
  <c r="F24" i="1"/>
  <c r="G78" i="1"/>
  <c r="O78" i="1" s="1"/>
  <c r="D58" i="1"/>
  <c r="D26" i="1"/>
  <c r="C70" i="15"/>
  <c r="C146" i="7" l="1"/>
  <c r="D59" i="1"/>
  <c r="D27" i="1"/>
  <c r="D60" i="1" s="1"/>
  <c r="D99" i="5"/>
  <c r="D125" i="5"/>
  <c r="E65" i="2" s="1"/>
  <c r="D152" i="5"/>
  <c r="E65" i="8" s="1"/>
  <c r="D100" i="5"/>
  <c r="D102" i="5"/>
  <c r="D82" i="9"/>
  <c r="P68" i="1"/>
  <c r="D18" i="2"/>
  <c r="D18" i="8"/>
  <c r="C139" i="5"/>
  <c r="D21" i="8" s="1"/>
  <c r="C112" i="5"/>
  <c r="O97" i="1"/>
  <c r="E58" i="4" s="1"/>
  <c r="O98" i="1"/>
  <c r="E59" i="4" s="1"/>
  <c r="C119" i="5"/>
  <c r="C146" i="5"/>
  <c r="D36" i="8" s="1"/>
  <c r="D35" i="2"/>
  <c r="C115" i="4"/>
  <c r="C117" i="4"/>
  <c r="C114" i="4"/>
  <c r="C154" i="5"/>
  <c r="D67" i="8" s="1"/>
  <c r="C127" i="5"/>
  <c r="D67" i="2" s="1"/>
  <c r="D94" i="5"/>
  <c r="D145" i="5"/>
  <c r="E35" i="8" s="1"/>
  <c r="D91" i="5"/>
  <c r="D118" i="5"/>
  <c r="D92" i="5"/>
  <c r="D77" i="9"/>
  <c r="D67" i="9"/>
  <c r="D72" i="9"/>
  <c r="F57" i="1"/>
  <c r="F25" i="1"/>
  <c r="H78" i="1"/>
  <c r="P78" i="1" s="1"/>
  <c r="G24" i="1"/>
  <c r="G56" i="1"/>
  <c r="D104" i="4"/>
  <c r="E17" i="2" s="1"/>
  <c r="D105" i="4"/>
  <c r="D113" i="4"/>
  <c r="D123" i="4"/>
  <c r="D125" i="4"/>
  <c r="D122" i="4"/>
  <c r="D82" i="5"/>
  <c r="D62" i="9"/>
  <c r="D142" i="7"/>
  <c r="D141" i="7"/>
  <c r="D144" i="7"/>
  <c r="C60" i="1"/>
  <c r="I68" i="1"/>
  <c r="J85" i="1"/>
  <c r="R85" i="1" s="1"/>
  <c r="J68" i="1"/>
  <c r="K68" i="1"/>
  <c r="K85" i="1"/>
  <c r="S85" i="1" s="1"/>
  <c r="C104" i="5"/>
  <c r="C115" i="5"/>
  <c r="C142" i="5"/>
  <c r="D23" i="8" s="1"/>
  <c r="C140" i="5"/>
  <c r="D22" i="8" s="1"/>
  <c r="C113" i="5"/>
  <c r="E26" i="1"/>
  <c r="E58" i="1"/>
  <c r="G97" i="1"/>
  <c r="E74" i="9" s="1"/>
  <c r="C122" i="5"/>
  <c r="D39" i="2" s="1"/>
  <c r="C149" i="5"/>
  <c r="D39" i="8" s="1"/>
  <c r="C120" i="5"/>
  <c r="C147" i="5"/>
  <c r="D37" i="8" s="1"/>
  <c r="C107" i="4"/>
  <c r="C108" i="4"/>
  <c r="C110" i="4"/>
  <c r="C157" i="5"/>
  <c r="D70" i="8" s="1"/>
  <c r="N61" i="18" s="1"/>
  <c r="M65" i="18" s="1"/>
  <c r="C130" i="5"/>
  <c r="D70" i="2" s="1"/>
  <c r="C128" i="5"/>
  <c r="D68" i="2" s="1"/>
  <c r="C155" i="5"/>
  <c r="D68" i="8" s="1"/>
  <c r="C71" i="15"/>
  <c r="D146" i="7" l="1"/>
  <c r="D77" i="8"/>
  <c r="C127" i="4"/>
  <c r="D82" i="2"/>
  <c r="D83" i="2" s="1"/>
  <c r="D21" i="2"/>
  <c r="D43" i="8"/>
  <c r="D77" i="2"/>
  <c r="C132" i="5"/>
  <c r="E77" i="9"/>
  <c r="D23" i="2"/>
  <c r="R68" i="1"/>
  <c r="Q68" i="1"/>
  <c r="E59" i="9"/>
  <c r="D85" i="5"/>
  <c r="D137" i="5"/>
  <c r="D87" i="5"/>
  <c r="D84" i="5"/>
  <c r="D110" i="5"/>
  <c r="E35" i="2"/>
  <c r="D117" i="4"/>
  <c r="D114" i="4"/>
  <c r="D115" i="4"/>
  <c r="D110" i="4"/>
  <c r="D108" i="4"/>
  <c r="D107" i="4"/>
  <c r="G57" i="1"/>
  <c r="G25" i="1"/>
  <c r="F58" i="1"/>
  <c r="F26" i="1"/>
  <c r="I78" i="1"/>
  <c r="Q78" i="1" s="1"/>
  <c r="E69" i="9"/>
  <c r="E64" i="9"/>
  <c r="D120" i="5"/>
  <c r="D147" i="5"/>
  <c r="E37" i="8" s="1"/>
  <c r="D119" i="5"/>
  <c r="E36" i="2" s="1"/>
  <c r="D146" i="5"/>
  <c r="E36" i="8" s="1"/>
  <c r="D149" i="5"/>
  <c r="E39" i="8" s="1"/>
  <c r="D122" i="5"/>
  <c r="D37" i="2"/>
  <c r="D36" i="2"/>
  <c r="D82" i="8"/>
  <c r="D83" i="8" s="1"/>
  <c r="D31" i="8"/>
  <c r="P98" i="1"/>
  <c r="F59" i="4" s="1"/>
  <c r="P97" i="1"/>
  <c r="F58" i="4" s="1"/>
  <c r="D89" i="9"/>
  <c r="D88" i="9"/>
  <c r="D128" i="5"/>
  <c r="E68" i="2" s="1"/>
  <c r="D155" i="5"/>
  <c r="E68" i="8" s="1"/>
  <c r="E29" i="5"/>
  <c r="E97" i="5" s="1"/>
  <c r="E35" i="5"/>
  <c r="E90" i="5" s="1"/>
  <c r="E86" i="7"/>
  <c r="E139" i="7" s="1"/>
  <c r="E48" i="4"/>
  <c r="E41" i="5"/>
  <c r="E68" i="4"/>
  <c r="E120" i="4" s="1"/>
  <c r="E32" i="5"/>
  <c r="E59" i="1"/>
  <c r="E27" i="1"/>
  <c r="E60" i="1" s="1"/>
  <c r="D22" i="2"/>
  <c r="S68" i="1"/>
  <c r="D91" i="9"/>
  <c r="D90" i="9"/>
  <c r="C159" i="5"/>
  <c r="H97" i="1"/>
  <c r="E79" i="9"/>
  <c r="D157" i="5"/>
  <c r="E70" i="8" s="1"/>
  <c r="D130" i="5"/>
  <c r="E70" i="2" s="1"/>
  <c r="D127" i="5"/>
  <c r="E67" i="2" s="1"/>
  <c r="D154" i="5"/>
  <c r="E67" i="8" s="1"/>
  <c r="C72" i="15"/>
  <c r="D104" i="5" l="1"/>
  <c r="E39" i="2"/>
  <c r="D31" i="2"/>
  <c r="E77" i="2"/>
  <c r="E77" i="8"/>
  <c r="D43" i="2"/>
  <c r="E43" i="8"/>
  <c r="E37" i="2"/>
  <c r="E43" i="2" s="1"/>
  <c r="F79" i="9"/>
  <c r="E82" i="9"/>
  <c r="D103" i="9"/>
  <c r="E102" i="2" s="1"/>
  <c r="D114" i="9"/>
  <c r="E102" i="8" s="1"/>
  <c r="E82" i="5"/>
  <c r="E144" i="7"/>
  <c r="E142" i="7"/>
  <c r="E141" i="7"/>
  <c r="E125" i="5"/>
  <c r="F65" i="2" s="1"/>
  <c r="E152" i="5"/>
  <c r="F65" i="8" s="1"/>
  <c r="E99" i="5"/>
  <c r="E100" i="5"/>
  <c r="E102" i="5"/>
  <c r="D92" i="9"/>
  <c r="D100" i="9"/>
  <c r="D111" i="9"/>
  <c r="F64" i="9"/>
  <c r="E67" i="9"/>
  <c r="D139" i="5"/>
  <c r="E21" i="8" s="1"/>
  <c r="D112" i="5"/>
  <c r="E21" i="2" s="1"/>
  <c r="E18" i="8"/>
  <c r="F59" i="9"/>
  <c r="E62" i="9"/>
  <c r="I97" i="1"/>
  <c r="F32" i="5"/>
  <c r="F35" i="5"/>
  <c r="F90" i="5" s="1"/>
  <c r="F86" i="7"/>
  <c r="F139" i="7" s="1"/>
  <c r="F48" i="4"/>
  <c r="F41" i="5"/>
  <c r="F82" i="5" s="1"/>
  <c r="F68" i="4"/>
  <c r="F120" i="4" s="1"/>
  <c r="F29" i="5"/>
  <c r="F97" i="5" s="1"/>
  <c r="D113" i="9"/>
  <c r="E101" i="8" s="1"/>
  <c r="D102" i="9"/>
  <c r="E101" i="2" s="1"/>
  <c r="E122" i="4"/>
  <c r="E123" i="4"/>
  <c r="E125" i="4"/>
  <c r="E113" i="4"/>
  <c r="E104" i="4"/>
  <c r="F17" i="2" s="1"/>
  <c r="E105" i="4"/>
  <c r="E92" i="5"/>
  <c r="E118" i="5"/>
  <c r="E91" i="5"/>
  <c r="E94" i="5"/>
  <c r="E145" i="5"/>
  <c r="F35" i="8" s="1"/>
  <c r="D101" i="9"/>
  <c r="E100" i="2" s="1"/>
  <c r="D112" i="9"/>
  <c r="E100" i="8" s="1"/>
  <c r="B10" i="15"/>
  <c r="D126" i="8"/>
  <c r="F69" i="9"/>
  <c r="E72" i="9"/>
  <c r="F27" i="1"/>
  <c r="F59" i="1"/>
  <c r="J78" i="1"/>
  <c r="G58" i="1"/>
  <c r="G26" i="1"/>
  <c r="D127" i="4"/>
  <c r="E18" i="2"/>
  <c r="D142" i="5"/>
  <c r="E23" i="8" s="1"/>
  <c r="D115" i="5"/>
  <c r="E23" i="2" s="1"/>
  <c r="D113" i="5"/>
  <c r="E22" i="2" s="1"/>
  <c r="D140" i="5"/>
  <c r="E22" i="8" s="1"/>
  <c r="Q98" i="1"/>
  <c r="G59" i="4" s="1"/>
  <c r="Q97" i="1"/>
  <c r="G58" i="4" s="1"/>
  <c r="F74" i="9"/>
  <c r="C73" i="15"/>
  <c r="E146" i="7" l="1"/>
  <c r="B9" i="15"/>
  <c r="B15" i="15" s="1"/>
  <c r="B16" i="15" s="1"/>
  <c r="D126" i="2"/>
  <c r="D129" i="2" s="1"/>
  <c r="E31" i="2"/>
  <c r="D132" i="5"/>
  <c r="G59" i="1"/>
  <c r="G27" i="1"/>
  <c r="G60" i="1" s="1"/>
  <c r="R78" i="1"/>
  <c r="J97" i="1"/>
  <c r="F60" i="1"/>
  <c r="K78" i="1"/>
  <c r="G69" i="9"/>
  <c r="F72" i="9"/>
  <c r="E122" i="5"/>
  <c r="E149" i="5"/>
  <c r="F39" i="8" s="1"/>
  <c r="F35" i="2"/>
  <c r="E115" i="4"/>
  <c r="E117" i="4"/>
  <c r="E114" i="4"/>
  <c r="F152" i="5"/>
  <c r="G65" i="8" s="1"/>
  <c r="F125" i="5"/>
  <c r="G65" i="2" s="1"/>
  <c r="F100" i="5"/>
  <c r="F102" i="5"/>
  <c r="F99" i="5"/>
  <c r="F137" i="5"/>
  <c r="F110" i="5"/>
  <c r="F87" i="5"/>
  <c r="F85" i="5"/>
  <c r="F84" i="5"/>
  <c r="F141" i="7"/>
  <c r="F144" i="7"/>
  <c r="F142" i="7"/>
  <c r="E91" i="9"/>
  <c r="E90" i="9"/>
  <c r="D159" i="5"/>
  <c r="F67" i="9"/>
  <c r="G64" i="9"/>
  <c r="E99" i="2"/>
  <c r="E82" i="2" s="1"/>
  <c r="E83" i="2" s="1"/>
  <c r="E157" i="5"/>
  <c r="F70" i="8" s="1"/>
  <c r="E130" i="5"/>
  <c r="F70" i="2" s="1"/>
  <c r="E154" i="5"/>
  <c r="F67" i="8" s="1"/>
  <c r="E127" i="5"/>
  <c r="F67" i="2" s="1"/>
  <c r="E88" i="9"/>
  <c r="E89" i="9"/>
  <c r="B11" i="13"/>
  <c r="C5" i="16" s="1"/>
  <c r="G74" i="9"/>
  <c r="F77" i="9"/>
  <c r="B6" i="13"/>
  <c r="D129" i="8"/>
  <c r="E119" i="5"/>
  <c r="E146" i="5"/>
  <c r="F36" i="8" s="1"/>
  <c r="E147" i="5"/>
  <c r="F37" i="8" s="1"/>
  <c r="E120" i="5"/>
  <c r="E107" i="4"/>
  <c r="E110" i="4"/>
  <c r="E108" i="4"/>
  <c r="F123" i="4"/>
  <c r="F125" i="4"/>
  <c r="F122" i="4"/>
  <c r="F104" i="4"/>
  <c r="G17" i="2" s="1"/>
  <c r="F105" i="4"/>
  <c r="F113" i="4"/>
  <c r="F94" i="5"/>
  <c r="F145" i="5"/>
  <c r="G35" i="8" s="1"/>
  <c r="F91" i="5"/>
  <c r="F92" i="5"/>
  <c r="F118" i="5"/>
  <c r="G41" i="5"/>
  <c r="G32" i="5"/>
  <c r="G86" i="7"/>
  <c r="G139" i="7" s="1"/>
  <c r="G68" i="4"/>
  <c r="G120" i="4" s="1"/>
  <c r="G29" i="5"/>
  <c r="G97" i="5" s="1"/>
  <c r="G35" i="5"/>
  <c r="G90" i="5" s="1"/>
  <c r="G48" i="4"/>
  <c r="F62" i="9"/>
  <c r="G59" i="9"/>
  <c r="E31" i="8"/>
  <c r="E99" i="8"/>
  <c r="E82" i="8" s="1"/>
  <c r="E83" i="8" s="1"/>
  <c r="D94" i="9"/>
  <c r="D115" i="9"/>
  <c r="E103" i="8" s="1"/>
  <c r="D104" i="9"/>
  <c r="E103" i="2" s="1"/>
  <c r="E128" i="5"/>
  <c r="F68" i="2" s="1"/>
  <c r="E155" i="5"/>
  <c r="F68" i="8" s="1"/>
  <c r="F77" i="8" s="1"/>
  <c r="E110" i="5"/>
  <c r="E85" i="5"/>
  <c r="E137" i="5"/>
  <c r="E84" i="5"/>
  <c r="E87" i="5"/>
  <c r="F82" i="9"/>
  <c r="G79" i="9"/>
  <c r="C74" i="15"/>
  <c r="C8" i="16" l="1"/>
  <c r="D20" i="17"/>
  <c r="L20" i="17" s="1"/>
  <c r="N20" i="17" s="1"/>
  <c r="F36" i="2"/>
  <c r="C76" i="15"/>
  <c r="D138" i="9" s="1"/>
  <c r="E105" i="2" s="1"/>
  <c r="E124" i="2" s="1"/>
  <c r="E126" i="2" s="1"/>
  <c r="F146" i="7"/>
  <c r="G18" i="2"/>
  <c r="F77" i="2"/>
  <c r="C9" i="15"/>
  <c r="C10" i="15"/>
  <c r="F43" i="8"/>
  <c r="F89" i="9"/>
  <c r="F88" i="9"/>
  <c r="F18" i="8"/>
  <c r="F18" i="2"/>
  <c r="F90" i="9"/>
  <c r="F91" i="9"/>
  <c r="G92" i="5"/>
  <c r="G94" i="5"/>
  <c r="G118" i="5"/>
  <c r="G145" i="5"/>
  <c r="H35" i="8" s="1"/>
  <c r="G91" i="5"/>
  <c r="G123" i="4"/>
  <c r="G125" i="4"/>
  <c r="G122" i="4"/>
  <c r="F146" i="5"/>
  <c r="G36" i="8" s="1"/>
  <c r="F119" i="5"/>
  <c r="F122" i="5"/>
  <c r="F149" i="5"/>
  <c r="G39" i="8" s="1"/>
  <c r="C8" i="5"/>
  <c r="B8" i="3"/>
  <c r="B7" i="13"/>
  <c r="C9" i="16" s="1"/>
  <c r="C8" i="14"/>
  <c r="C5" i="12"/>
  <c r="C8" i="9"/>
  <c r="C5" i="7"/>
  <c r="G77" i="9"/>
  <c r="H74" i="9"/>
  <c r="C5" i="14"/>
  <c r="C5" i="4"/>
  <c r="B5" i="3"/>
  <c r="C5" i="6"/>
  <c r="C5" i="5"/>
  <c r="B12" i="13"/>
  <c r="C6" i="16" s="1"/>
  <c r="C5" i="9"/>
  <c r="B27" i="13"/>
  <c r="E100" i="9"/>
  <c r="E92" i="9"/>
  <c r="E111" i="9"/>
  <c r="D106" i="9"/>
  <c r="G67" i="9"/>
  <c r="H64" i="9"/>
  <c r="E114" i="9"/>
  <c r="F102" i="8" s="1"/>
  <c r="E103" i="9"/>
  <c r="F102" i="2" s="1"/>
  <c r="F139" i="5"/>
  <c r="G21" i="8" s="1"/>
  <c r="F112" i="5"/>
  <c r="F142" i="5"/>
  <c r="G23" i="8" s="1"/>
  <c r="F115" i="5"/>
  <c r="G18" i="8"/>
  <c r="F157" i="5"/>
  <c r="G70" i="8" s="1"/>
  <c r="F130" i="5"/>
  <c r="G70" i="2" s="1"/>
  <c r="F37" i="2"/>
  <c r="S78" i="1"/>
  <c r="K97" i="1"/>
  <c r="H41" i="5"/>
  <c r="H68" i="4"/>
  <c r="H120" i="4" s="1"/>
  <c r="H86" i="7"/>
  <c r="H139" i="7" s="1"/>
  <c r="H35" i="5"/>
  <c r="H90" i="5" s="1"/>
  <c r="H29" i="5"/>
  <c r="H97" i="5" s="1"/>
  <c r="H32" i="5"/>
  <c r="H48" i="4"/>
  <c r="E115" i="5"/>
  <c r="F23" i="2" s="1"/>
  <c r="E142" i="5"/>
  <c r="F23" i="8" s="1"/>
  <c r="G82" i="9"/>
  <c r="H79" i="9"/>
  <c r="E104" i="5"/>
  <c r="E112" i="5"/>
  <c r="E139" i="5"/>
  <c r="F21" i="8" s="1"/>
  <c r="E113" i="5"/>
  <c r="F22" i="2" s="1"/>
  <c r="E140" i="5"/>
  <c r="F22" i="8" s="1"/>
  <c r="D117" i="9"/>
  <c r="G62" i="9"/>
  <c r="H59" i="9"/>
  <c r="G113" i="4"/>
  <c r="G105" i="4"/>
  <c r="G104" i="4"/>
  <c r="H17" i="2" s="1"/>
  <c r="G152" i="5"/>
  <c r="H65" i="8" s="1"/>
  <c r="G125" i="5"/>
  <c r="H65" i="2" s="1"/>
  <c r="G99" i="5"/>
  <c r="G102" i="5"/>
  <c r="G100" i="5"/>
  <c r="G141" i="7"/>
  <c r="G142" i="7"/>
  <c r="G144" i="7"/>
  <c r="G82" i="5"/>
  <c r="F147" i="5"/>
  <c r="G37" i="8" s="1"/>
  <c r="F120" i="5"/>
  <c r="F117" i="4"/>
  <c r="F114" i="4"/>
  <c r="F115" i="4"/>
  <c r="G35" i="2"/>
  <c r="F110" i="4"/>
  <c r="G23" i="2" s="1"/>
  <c r="F107" i="4"/>
  <c r="F108" i="4"/>
  <c r="E127" i="4"/>
  <c r="E101" i="9"/>
  <c r="F100" i="2" s="1"/>
  <c r="E112" i="9"/>
  <c r="F100" i="8" s="1"/>
  <c r="E102" i="9"/>
  <c r="F101" i="2" s="1"/>
  <c r="E113" i="9"/>
  <c r="F101" i="8" s="1"/>
  <c r="F104" i="5"/>
  <c r="F113" i="5"/>
  <c r="F140" i="5"/>
  <c r="G22" i="8" s="1"/>
  <c r="F154" i="5"/>
  <c r="G67" i="8" s="1"/>
  <c r="F127" i="5"/>
  <c r="G67" i="2" s="1"/>
  <c r="F128" i="5"/>
  <c r="G68" i="2" s="1"/>
  <c r="F155" i="5"/>
  <c r="G68" i="8" s="1"/>
  <c r="F39" i="2"/>
  <c r="G72" i="9"/>
  <c r="H69" i="9"/>
  <c r="R97" i="1"/>
  <c r="H58" i="4" s="1"/>
  <c r="R98" i="1"/>
  <c r="H59" i="4" s="1"/>
  <c r="D63" i="15"/>
  <c r="D158" i="9"/>
  <c r="E105" i="8" s="1"/>
  <c r="E124" i="8" s="1"/>
  <c r="E126" i="8" s="1"/>
  <c r="F43" i="2" l="1"/>
  <c r="F127" i="4"/>
  <c r="H82" i="5"/>
  <c r="H110" i="5" s="1"/>
  <c r="G22" i="2"/>
  <c r="G146" i="7"/>
  <c r="G77" i="8"/>
  <c r="C15" i="15"/>
  <c r="C16" i="15" s="1"/>
  <c r="G77" i="2"/>
  <c r="E132" i="5"/>
  <c r="G37" i="2"/>
  <c r="F132" i="5"/>
  <c r="G155" i="5"/>
  <c r="H68" i="8" s="1"/>
  <c r="G128" i="5"/>
  <c r="H68" i="2" s="1"/>
  <c r="G127" i="5"/>
  <c r="H67" i="2" s="1"/>
  <c r="G154" i="5"/>
  <c r="H67" i="8" s="1"/>
  <c r="I59" i="9"/>
  <c r="I62" i="9" s="1"/>
  <c r="H62" i="9"/>
  <c r="I79" i="9"/>
  <c r="I82" i="9" s="1"/>
  <c r="H82" i="9"/>
  <c r="H105" i="4"/>
  <c r="H104" i="4"/>
  <c r="I17" i="2" s="1"/>
  <c r="H113" i="4"/>
  <c r="H125" i="5"/>
  <c r="I65" i="2" s="1"/>
  <c r="H152" i="5"/>
  <c r="I65" i="8" s="1"/>
  <c r="H100" i="5"/>
  <c r="H99" i="5"/>
  <c r="H102" i="5"/>
  <c r="H144" i="7"/>
  <c r="H141" i="7"/>
  <c r="H142" i="7"/>
  <c r="H137" i="5"/>
  <c r="H87" i="5"/>
  <c r="S98" i="1"/>
  <c r="I59" i="4" s="1"/>
  <c r="S97" i="1"/>
  <c r="I58" i="4" s="1"/>
  <c r="G31" i="8"/>
  <c r="F99" i="8"/>
  <c r="F99" i="2"/>
  <c r="F82" i="2" s="1"/>
  <c r="F83" i="2" s="1"/>
  <c r="F21" i="2"/>
  <c r="F31" i="2" s="1"/>
  <c r="G39" i="2"/>
  <c r="G43" i="8"/>
  <c r="G119" i="5"/>
  <c r="G146" i="5"/>
  <c r="H36" i="8" s="1"/>
  <c r="G120" i="5"/>
  <c r="G147" i="5"/>
  <c r="H37" i="8" s="1"/>
  <c r="F113" i="9"/>
  <c r="G101" i="8" s="1"/>
  <c r="F102" i="9"/>
  <c r="G101" i="2" s="1"/>
  <c r="F31" i="8"/>
  <c r="F82" i="8"/>
  <c r="F83" i="8" s="1"/>
  <c r="F112" i="9"/>
  <c r="G100" i="8" s="1"/>
  <c r="F101" i="9"/>
  <c r="G100" i="2" s="1"/>
  <c r="I69" i="9"/>
  <c r="I72" i="9" s="1"/>
  <c r="H72" i="9"/>
  <c r="G84" i="5"/>
  <c r="G137" i="5"/>
  <c r="G110" i="5"/>
  <c r="G85" i="5"/>
  <c r="G87" i="5"/>
  <c r="G130" i="5"/>
  <c r="H70" i="2" s="1"/>
  <c r="G157" i="5"/>
  <c r="H70" i="8" s="1"/>
  <c r="G110" i="4"/>
  <c r="G107" i="4"/>
  <c r="G108" i="4"/>
  <c r="G114" i="4"/>
  <c r="H35" i="2"/>
  <c r="G117" i="4"/>
  <c r="G115" i="4"/>
  <c r="G90" i="9"/>
  <c r="G91" i="9"/>
  <c r="G88" i="9"/>
  <c r="G89" i="9"/>
  <c r="H94" i="5"/>
  <c r="H91" i="5"/>
  <c r="H118" i="5"/>
  <c r="H145" i="5"/>
  <c r="I35" i="8" s="1"/>
  <c r="H92" i="5"/>
  <c r="H122" i="4"/>
  <c r="H125" i="4"/>
  <c r="H123" i="4"/>
  <c r="I41" i="5"/>
  <c r="I68" i="4"/>
  <c r="I120" i="4" s="1"/>
  <c r="I35" i="5"/>
  <c r="I90" i="5" s="1"/>
  <c r="I48" i="4"/>
  <c r="I29" i="5"/>
  <c r="I97" i="5" s="1"/>
  <c r="I32" i="5"/>
  <c r="I86" i="7"/>
  <c r="I139" i="7" s="1"/>
  <c r="F159" i="5"/>
  <c r="G21" i="2"/>
  <c r="G31" i="2" s="1"/>
  <c r="I64" i="9"/>
  <c r="I67" i="9" s="1"/>
  <c r="H67" i="9"/>
  <c r="E94" i="9"/>
  <c r="E104" i="9"/>
  <c r="F103" i="2" s="1"/>
  <c r="E115" i="9"/>
  <c r="F103" i="8" s="1"/>
  <c r="B5" i="15"/>
  <c r="B28" i="13"/>
  <c r="C10" i="16" s="1"/>
  <c r="C6" i="14"/>
  <c r="C6" i="4"/>
  <c r="C6" i="9"/>
  <c r="C6" i="5"/>
  <c r="C6" i="6"/>
  <c r="B6" i="3"/>
  <c r="I74" i="9"/>
  <c r="I77" i="9" s="1"/>
  <c r="H77" i="9"/>
  <c r="C9" i="14"/>
  <c r="C6" i="7"/>
  <c r="C9" i="9"/>
  <c r="C6" i="12"/>
  <c r="C9" i="5"/>
  <c r="B9" i="3"/>
  <c r="G36" i="2"/>
  <c r="G43" i="2" s="1"/>
  <c r="G149" i="5"/>
  <c r="H39" i="8" s="1"/>
  <c r="G122" i="5"/>
  <c r="F103" i="9"/>
  <c r="G102" i="2" s="1"/>
  <c r="F114" i="9"/>
  <c r="G102" i="8" s="1"/>
  <c r="E159" i="5"/>
  <c r="F92" i="9"/>
  <c r="F100" i="9"/>
  <c r="F111" i="9"/>
  <c r="C6" i="13"/>
  <c r="E129" i="8"/>
  <c r="C11" i="13"/>
  <c r="D5" i="16" s="1"/>
  <c r="E129" i="2"/>
  <c r="D64" i="15"/>
  <c r="D8" i="16" l="1"/>
  <c r="D21" i="17"/>
  <c r="L21" i="17" s="1"/>
  <c r="N21" i="17" s="1"/>
  <c r="H84" i="5"/>
  <c r="H85" i="5"/>
  <c r="H77" i="2"/>
  <c r="I82" i="5"/>
  <c r="I84" i="5" s="1"/>
  <c r="H37" i="2"/>
  <c r="H77" i="8"/>
  <c r="I18" i="2"/>
  <c r="D10" i="15"/>
  <c r="G127" i="4"/>
  <c r="H43" i="8"/>
  <c r="G99" i="2"/>
  <c r="G82" i="2" s="1"/>
  <c r="G83" i="2" s="1"/>
  <c r="I142" i="7"/>
  <c r="I144" i="7"/>
  <c r="I141" i="7"/>
  <c r="I152" i="5"/>
  <c r="J65" i="8" s="1"/>
  <c r="I125" i="5"/>
  <c r="I100" i="5"/>
  <c r="I102" i="5"/>
  <c r="I99" i="5"/>
  <c r="I92" i="5"/>
  <c r="I91" i="5"/>
  <c r="I118" i="5"/>
  <c r="I94" i="5"/>
  <c r="I145" i="5"/>
  <c r="J35" i="8" s="1"/>
  <c r="I85" i="5"/>
  <c r="I87" i="5"/>
  <c r="H120" i="5"/>
  <c r="H147" i="5"/>
  <c r="I37" i="8" s="1"/>
  <c r="H122" i="5"/>
  <c r="H149" i="5"/>
  <c r="I39" i="8" s="1"/>
  <c r="G111" i="9"/>
  <c r="G92" i="9"/>
  <c r="G100" i="9"/>
  <c r="G113" i="9"/>
  <c r="H101" i="8" s="1"/>
  <c r="G102" i="9"/>
  <c r="H101" i="2" s="1"/>
  <c r="G142" i="5"/>
  <c r="H23" i="8" s="1"/>
  <c r="G115" i="5"/>
  <c r="H23" i="2" s="1"/>
  <c r="H18" i="2"/>
  <c r="G112" i="5"/>
  <c r="G139" i="5"/>
  <c r="H21" i="8" s="1"/>
  <c r="D9" i="15"/>
  <c r="H142" i="5"/>
  <c r="I23" i="8" s="1"/>
  <c r="H115" i="5"/>
  <c r="H112" i="5"/>
  <c r="H139" i="5"/>
  <c r="I21" i="8" s="1"/>
  <c r="I18" i="8"/>
  <c r="H154" i="5"/>
  <c r="I67" i="8" s="1"/>
  <c r="H127" i="5"/>
  <c r="I67" i="2" s="1"/>
  <c r="H114" i="4"/>
  <c r="I35" i="2"/>
  <c r="H117" i="4"/>
  <c r="H115" i="4"/>
  <c r="I89" i="9"/>
  <c r="I88" i="9"/>
  <c r="I91" i="9"/>
  <c r="I90" i="9"/>
  <c r="G99" i="8"/>
  <c r="G82" i="8" s="1"/>
  <c r="G83" i="8" s="1"/>
  <c r="F94" i="9"/>
  <c r="F104" i="9"/>
  <c r="G103" i="2" s="1"/>
  <c r="F115" i="9"/>
  <c r="G103" i="8" s="1"/>
  <c r="H39" i="2"/>
  <c r="B6" i="15"/>
  <c r="B10" i="3"/>
  <c r="C10" i="5"/>
  <c r="C7" i="12"/>
  <c r="C10" i="14"/>
  <c r="C7" i="4"/>
  <c r="C7" i="7"/>
  <c r="C7" i="6"/>
  <c r="C10" i="9"/>
  <c r="I105" i="4"/>
  <c r="I113" i="4"/>
  <c r="I104" i="4"/>
  <c r="J17" i="2" s="1"/>
  <c r="I123" i="4"/>
  <c r="I122" i="4"/>
  <c r="I125" i="4"/>
  <c r="J65" i="2"/>
  <c r="H146" i="5"/>
  <c r="I36" i="8" s="1"/>
  <c r="H119" i="5"/>
  <c r="I36" i="2" s="1"/>
  <c r="G112" i="9"/>
  <c r="H100" i="8" s="1"/>
  <c r="G101" i="9"/>
  <c r="H100" i="2" s="1"/>
  <c r="G103" i="9"/>
  <c r="H102" i="2" s="1"/>
  <c r="G114" i="9"/>
  <c r="H102" i="8" s="1"/>
  <c r="G104" i="5"/>
  <c r="G140" i="5"/>
  <c r="H22" i="8" s="1"/>
  <c r="G113" i="5"/>
  <c r="H22" i="2" s="1"/>
  <c r="H18" i="8"/>
  <c r="H36" i="2"/>
  <c r="E106" i="9"/>
  <c r="E117" i="9"/>
  <c r="H104" i="5"/>
  <c r="H140" i="5"/>
  <c r="I22" i="8" s="1"/>
  <c r="H113" i="5"/>
  <c r="H146" i="7"/>
  <c r="H130" i="5"/>
  <c r="I70" i="2" s="1"/>
  <c r="H157" i="5"/>
  <c r="I70" i="8" s="1"/>
  <c r="H155" i="5"/>
  <c r="I68" i="8" s="1"/>
  <c r="H128" i="5"/>
  <c r="I68" i="2" s="1"/>
  <c r="H108" i="4"/>
  <c r="I22" i="2" s="1"/>
  <c r="H107" i="4"/>
  <c r="H110" i="4"/>
  <c r="H88" i="9"/>
  <c r="H89" i="9"/>
  <c r="H90" i="9"/>
  <c r="H91" i="9"/>
  <c r="D65" i="15"/>
  <c r="D5" i="14"/>
  <c r="D5" i="5"/>
  <c r="D5" i="6"/>
  <c r="C12" i="13"/>
  <c r="D6" i="16" s="1"/>
  <c r="C5" i="3"/>
  <c r="D5" i="9"/>
  <c r="D5" i="4"/>
  <c r="C27" i="13"/>
  <c r="D8" i="14"/>
  <c r="D8" i="5"/>
  <c r="C7" i="13"/>
  <c r="D9" i="16" s="1"/>
  <c r="D5" i="12"/>
  <c r="C8" i="3"/>
  <c r="D8" i="9"/>
  <c r="D5" i="7"/>
  <c r="I110" i="5" l="1"/>
  <c r="I137" i="5"/>
  <c r="H127" i="4"/>
  <c r="I146" i="7"/>
  <c r="G132" i="5"/>
  <c r="E9" i="15"/>
  <c r="I23" i="2"/>
  <c r="I77" i="8"/>
  <c r="I77" i="2"/>
  <c r="H21" i="2"/>
  <c r="H31" i="2" s="1"/>
  <c r="I43" i="8"/>
  <c r="D15" i="15"/>
  <c r="D16" i="15" s="1"/>
  <c r="H43" i="2"/>
  <c r="H103" i="9"/>
  <c r="I102" i="2" s="1"/>
  <c r="H114" i="9"/>
  <c r="I102" i="8" s="1"/>
  <c r="H101" i="9"/>
  <c r="I100" i="2" s="1"/>
  <c r="H112" i="9"/>
  <c r="I100" i="8" s="1"/>
  <c r="H132" i="5"/>
  <c r="H31" i="8"/>
  <c r="I117" i="4"/>
  <c r="I115" i="4"/>
  <c r="J35" i="2"/>
  <c r="I114" i="4"/>
  <c r="E10" i="15"/>
  <c r="E15" i="15" s="1"/>
  <c r="E16" i="15" s="1"/>
  <c r="I114" i="9"/>
  <c r="J102" i="8" s="1"/>
  <c r="I103" i="9"/>
  <c r="J102" i="2" s="1"/>
  <c r="I112" i="9"/>
  <c r="J100" i="8" s="1"/>
  <c r="I101" i="9"/>
  <c r="J100" i="2" s="1"/>
  <c r="I31" i="8"/>
  <c r="H99" i="2"/>
  <c r="H82" i="2" s="1"/>
  <c r="H83" i="2" s="1"/>
  <c r="H99" i="8"/>
  <c r="H82" i="8" s="1"/>
  <c r="H83" i="8" s="1"/>
  <c r="I39" i="2"/>
  <c r="J18" i="2"/>
  <c r="J18" i="8"/>
  <c r="I139" i="5"/>
  <c r="J21" i="8" s="1"/>
  <c r="I112" i="5"/>
  <c r="I149" i="5"/>
  <c r="J39" i="8" s="1"/>
  <c r="I122" i="5"/>
  <c r="J39" i="2" s="1"/>
  <c r="I146" i="5"/>
  <c r="J36" i="8" s="1"/>
  <c r="I119" i="5"/>
  <c r="J36" i="2" s="1"/>
  <c r="I127" i="5"/>
  <c r="J67" i="2" s="1"/>
  <c r="I154" i="5"/>
  <c r="J67" i="8" s="1"/>
  <c r="I155" i="5"/>
  <c r="I128" i="5"/>
  <c r="J68" i="2" s="1"/>
  <c r="J68" i="8"/>
  <c r="H113" i="9"/>
  <c r="I101" i="8" s="1"/>
  <c r="H102" i="9"/>
  <c r="I101" i="2" s="1"/>
  <c r="H92" i="9"/>
  <c r="H94" i="9" s="1"/>
  <c r="H100" i="9"/>
  <c r="H111" i="9"/>
  <c r="I21" i="2"/>
  <c r="I31" i="2" s="1"/>
  <c r="G159" i="5"/>
  <c r="I110" i="4"/>
  <c r="I108" i="4"/>
  <c r="I107" i="4"/>
  <c r="F117" i="9"/>
  <c r="I113" i="9"/>
  <c r="J101" i="8" s="1"/>
  <c r="I102" i="9"/>
  <c r="J101" i="2" s="1"/>
  <c r="I92" i="9"/>
  <c r="I111" i="9"/>
  <c r="I100" i="9"/>
  <c r="I37" i="2"/>
  <c r="H159" i="5"/>
  <c r="G94" i="9"/>
  <c r="G115" i="9"/>
  <c r="H103" i="8" s="1"/>
  <c r="G104" i="9"/>
  <c r="H103" i="2" s="1"/>
  <c r="I104" i="5"/>
  <c r="I142" i="5"/>
  <c r="J23" i="8" s="1"/>
  <c r="I115" i="5"/>
  <c r="I140" i="5"/>
  <c r="J22" i="8" s="1"/>
  <c r="I113" i="5"/>
  <c r="I147" i="5"/>
  <c r="J37" i="8" s="1"/>
  <c r="I120" i="5"/>
  <c r="I130" i="5"/>
  <c r="J70" i="2" s="1"/>
  <c r="I157" i="5"/>
  <c r="J70" i="8" s="1"/>
  <c r="F106" i="9"/>
  <c r="C5" i="15"/>
  <c r="C28" i="13"/>
  <c r="D10" i="16" s="1"/>
  <c r="D6" i="14"/>
  <c r="D6" i="5"/>
  <c r="D6" i="4"/>
  <c r="C6" i="3"/>
  <c r="D6" i="9"/>
  <c r="D6" i="6"/>
  <c r="D9" i="14"/>
  <c r="D9" i="5"/>
  <c r="D6" i="12"/>
  <c r="C9" i="3"/>
  <c r="D9" i="9"/>
  <c r="D6" i="7"/>
  <c r="D66" i="15"/>
  <c r="J22" i="2" l="1"/>
  <c r="I127" i="4"/>
  <c r="J43" i="8"/>
  <c r="J23" i="2"/>
  <c r="J77" i="2"/>
  <c r="F9" i="15"/>
  <c r="F10" i="15"/>
  <c r="I43" i="2"/>
  <c r="I132" i="5"/>
  <c r="I115" i="9"/>
  <c r="J103" i="8" s="1"/>
  <c r="I104" i="9"/>
  <c r="J103" i="2" s="1"/>
  <c r="J77" i="8"/>
  <c r="I159" i="5"/>
  <c r="I94" i="9"/>
  <c r="J99" i="8"/>
  <c r="J82" i="8" s="1"/>
  <c r="J83" i="8" s="1"/>
  <c r="I117" i="9"/>
  <c r="J21" i="2"/>
  <c r="I99" i="8"/>
  <c r="I82" i="8" s="1"/>
  <c r="I83" i="8" s="1"/>
  <c r="H115" i="9"/>
  <c r="I103" i="8" s="1"/>
  <c r="H104" i="9"/>
  <c r="I103" i="2" s="1"/>
  <c r="J31" i="8"/>
  <c r="G117" i="9"/>
  <c r="G106" i="9"/>
  <c r="J99" i="2"/>
  <c r="J82" i="2" s="1"/>
  <c r="J83" i="2" s="1"/>
  <c r="I99" i="2"/>
  <c r="I82" i="2" s="1"/>
  <c r="I83" i="2" s="1"/>
  <c r="H106" i="9"/>
  <c r="J37" i="2"/>
  <c r="J43" i="2" s="1"/>
  <c r="D67" i="15"/>
  <c r="C6" i="15"/>
  <c r="C10" i="3"/>
  <c r="D7" i="6"/>
  <c r="D7" i="7"/>
  <c r="D7" i="4"/>
  <c r="D7" i="12"/>
  <c r="D10" i="9"/>
  <c r="D10" i="14"/>
  <c r="D10" i="5"/>
  <c r="J31" i="2" l="1"/>
  <c r="F15" i="15"/>
  <c r="F16" i="15" s="1"/>
  <c r="I106" i="9"/>
  <c r="G9" i="15"/>
  <c r="H10" i="15"/>
  <c r="H9" i="15"/>
  <c r="G10" i="15"/>
  <c r="H117" i="9"/>
  <c r="D68" i="15"/>
  <c r="G15" i="15" l="1"/>
  <c r="G16" i="15" s="1"/>
  <c r="H15" i="15"/>
  <c r="H16" i="15" s="1"/>
  <c r="D69" i="15"/>
  <c r="D70" i="15" l="1"/>
  <c r="D71" i="15" l="1"/>
  <c r="D72" i="15" l="1"/>
  <c r="D73" i="15" l="1"/>
  <c r="D74" i="15" l="1"/>
  <c r="D76" i="15" l="1"/>
  <c r="E138" i="9" s="1"/>
  <c r="F105" i="2" s="1"/>
  <c r="F124" i="2" s="1"/>
  <c r="F126" i="2" s="1"/>
  <c r="E63" i="15"/>
  <c r="E158" i="9" l="1"/>
  <c r="F105" i="8" s="1"/>
  <c r="F124" i="8" s="1"/>
  <c r="F126" i="8" s="1"/>
  <c r="F129" i="8" s="1"/>
  <c r="D11" i="13"/>
  <c r="E5" i="16" s="1"/>
  <c r="F129" i="2"/>
  <c r="E64" i="15"/>
  <c r="D6" i="13" l="1"/>
  <c r="E65" i="15"/>
  <c r="D5" i="3"/>
  <c r="E5" i="5"/>
  <c r="E5" i="4"/>
  <c r="D12" i="13"/>
  <c r="E6" i="16" s="1"/>
  <c r="E5" i="14"/>
  <c r="E5" i="9"/>
  <c r="E5" i="6"/>
  <c r="E8" i="16" l="1"/>
  <c r="D22" i="17"/>
  <c r="L22" i="17" s="1"/>
  <c r="N22" i="17" s="1"/>
  <c r="D27" i="13"/>
  <c r="D28" i="13" s="1"/>
  <c r="E10" i="16" s="1"/>
  <c r="E8" i="14"/>
  <c r="E5" i="12"/>
  <c r="E8" i="5"/>
  <c r="D8" i="3"/>
  <c r="D7" i="13"/>
  <c r="E9" i="16" s="1"/>
  <c r="E8" i="9"/>
  <c r="E5" i="7"/>
  <c r="D6" i="3"/>
  <c r="E6" i="9"/>
  <c r="E6" i="6"/>
  <c r="E6" i="14"/>
  <c r="E6" i="5"/>
  <c r="E6" i="4"/>
  <c r="E66" i="15"/>
  <c r="D5" i="15" l="1"/>
  <c r="E9" i="14"/>
  <c r="E9" i="5"/>
  <c r="D9" i="3"/>
  <c r="E9" i="9"/>
  <c r="E6" i="7"/>
  <c r="E6" i="12"/>
  <c r="D6" i="15"/>
  <c r="E7" i="4"/>
  <c r="E10" i="5"/>
  <c r="E7" i="6"/>
  <c r="E10" i="9"/>
  <c r="E7" i="12"/>
  <c r="D10" i="3"/>
  <c r="E7" i="7"/>
  <c r="E10" i="14"/>
  <c r="E67" i="15"/>
  <c r="E68" i="15" l="1"/>
  <c r="E69" i="15" l="1"/>
  <c r="E70" i="15" l="1"/>
  <c r="E71" i="15" l="1"/>
  <c r="E72" i="15" l="1"/>
  <c r="E73" i="15" l="1"/>
  <c r="E74" i="15" l="1"/>
  <c r="E76" i="15" l="1"/>
  <c r="F138" i="9" s="1"/>
  <c r="G105" i="2" s="1"/>
  <c r="G124" i="2" s="1"/>
  <c r="G126" i="2" s="1"/>
  <c r="F63" i="15"/>
  <c r="F158" i="9" l="1"/>
  <c r="G105" i="8" s="1"/>
  <c r="G124" i="8" s="1"/>
  <c r="G126" i="8" s="1"/>
  <c r="G129" i="8" s="1"/>
  <c r="F64" i="15"/>
  <c r="E11" i="13"/>
  <c r="F5" i="16" s="1"/>
  <c r="G129" i="2"/>
  <c r="E6" i="13" l="1"/>
  <c r="E5" i="3"/>
  <c r="F5" i="9"/>
  <c r="F5" i="6"/>
  <c r="E12" i="13"/>
  <c r="F6" i="16" s="1"/>
  <c r="F5" i="14"/>
  <c r="F5" i="5"/>
  <c r="F5" i="4"/>
  <c r="E27" i="13"/>
  <c r="F65" i="15"/>
  <c r="F8" i="14"/>
  <c r="F8" i="16" l="1"/>
  <c r="D23" i="17"/>
  <c r="L23" i="17" s="1"/>
  <c r="N23" i="17" s="1"/>
  <c r="E7" i="13"/>
  <c r="F9" i="16" s="1"/>
  <c r="F8" i="9"/>
  <c r="F5" i="12"/>
  <c r="F8" i="5"/>
  <c r="F5" i="7"/>
  <c r="E8" i="3"/>
  <c r="E28" i="13"/>
  <c r="F10" i="16" s="1"/>
  <c r="E5" i="15"/>
  <c r="F66" i="15"/>
  <c r="E6" i="3"/>
  <c r="F6" i="9"/>
  <c r="F6" i="6"/>
  <c r="F6" i="14"/>
  <c r="F6" i="5"/>
  <c r="F6" i="4"/>
  <c r="F9" i="5" l="1"/>
  <c r="E9" i="3"/>
  <c r="F6" i="12"/>
  <c r="F6" i="7"/>
  <c r="F9" i="14"/>
  <c r="F9" i="9"/>
  <c r="F67" i="15"/>
  <c r="E6" i="15"/>
  <c r="F7" i="4"/>
  <c r="F7" i="12"/>
  <c r="F7" i="6"/>
  <c r="F10" i="5"/>
  <c r="F10" i="9"/>
  <c r="F10" i="14"/>
  <c r="F7" i="7"/>
  <c r="E10" i="3"/>
  <c r="F68" i="15" l="1"/>
  <c r="F69" i="15" l="1"/>
  <c r="F70" i="15" l="1"/>
  <c r="F71" i="15" l="1"/>
  <c r="F72" i="15" l="1"/>
  <c r="F73" i="15" l="1"/>
  <c r="F74" i="15" l="1"/>
  <c r="F76" i="15" l="1"/>
  <c r="G138" i="9" s="1"/>
  <c r="H105" i="2" s="1"/>
  <c r="H124" i="2" s="1"/>
  <c r="H126" i="2" s="1"/>
  <c r="G63" i="15"/>
  <c r="G158" i="9" l="1"/>
  <c r="H105" i="8" s="1"/>
  <c r="H124" i="8" s="1"/>
  <c r="H126" i="8" s="1"/>
  <c r="H129" i="8" s="1"/>
  <c r="H129" i="2"/>
  <c r="F11" i="13"/>
  <c r="G5" i="16" s="1"/>
  <c r="G64" i="15"/>
  <c r="F6" i="13" l="1"/>
  <c r="F7" i="13" s="1"/>
  <c r="G9" i="16" s="1"/>
  <c r="F5" i="3"/>
  <c r="G5" i="9"/>
  <c r="F12" i="13"/>
  <c r="G6" i="16" s="1"/>
  <c r="G5" i="14"/>
  <c r="G5" i="5"/>
  <c r="G5" i="4"/>
  <c r="G5" i="6"/>
  <c r="G65" i="15"/>
  <c r="G8" i="9"/>
  <c r="F27" i="13" l="1"/>
  <c r="G8" i="16"/>
  <c r="D24" i="17"/>
  <c r="L24" i="17" s="1"/>
  <c r="N24" i="17" s="1"/>
  <c r="G8" i="14"/>
  <c r="G5" i="7"/>
  <c r="G8" i="5"/>
  <c r="G5" i="12"/>
  <c r="F8" i="3"/>
  <c r="G9" i="14"/>
  <c r="G9" i="5"/>
  <c r="G6" i="12"/>
  <c r="F9" i="3"/>
  <c r="G9" i="9"/>
  <c r="G6" i="7"/>
  <c r="G66" i="15"/>
  <c r="G6" i="6"/>
  <c r="G6" i="14"/>
  <c r="G6" i="5"/>
  <c r="G6" i="9"/>
  <c r="F6" i="3"/>
  <c r="G6" i="4"/>
  <c r="F5" i="15"/>
  <c r="F28" i="13"/>
  <c r="G10" i="16" s="1"/>
  <c r="F6" i="15" l="1"/>
  <c r="G7" i="7"/>
  <c r="G7" i="4"/>
  <c r="G7" i="12"/>
  <c r="G10" i="14"/>
  <c r="G7" i="6"/>
  <c r="G10" i="9"/>
  <c r="G10" i="5"/>
  <c r="F10" i="3"/>
  <c r="G67" i="15"/>
  <c r="G68" i="15" l="1"/>
  <c r="G69" i="15" l="1"/>
  <c r="G70" i="15" l="1"/>
  <c r="G71" i="15" l="1"/>
  <c r="G72" i="15" l="1"/>
  <c r="G73" i="15" l="1"/>
  <c r="G74" i="15" l="1"/>
  <c r="G76" i="15" l="1"/>
  <c r="H138" i="9" s="1"/>
  <c r="I105" i="2" s="1"/>
  <c r="I124" i="2" s="1"/>
  <c r="I126" i="2" s="1"/>
  <c r="H63" i="15"/>
  <c r="H158" i="9" l="1"/>
  <c r="I105" i="8" s="1"/>
  <c r="I124" i="8" s="1"/>
  <c r="I126" i="8" s="1"/>
  <c r="G6" i="13" s="1"/>
  <c r="H64" i="15"/>
  <c r="G11" i="13"/>
  <c r="H5" i="16" s="1"/>
  <c r="I129" i="2"/>
  <c r="H8" i="16" l="1"/>
  <c r="D25" i="17"/>
  <c r="L25" i="17" s="1"/>
  <c r="N25" i="17" s="1"/>
  <c r="I129" i="8"/>
  <c r="G5" i="3"/>
  <c r="H5" i="9"/>
  <c r="H5" i="4"/>
  <c r="G12" i="13"/>
  <c r="H6" i="16" s="1"/>
  <c r="H5" i="14"/>
  <c r="H5" i="5"/>
  <c r="H5" i="6"/>
  <c r="G27" i="13"/>
  <c r="H8" i="14"/>
  <c r="H8" i="9"/>
  <c r="H5" i="7"/>
  <c r="G8" i="3"/>
  <c r="H8" i="5"/>
  <c r="G7" i="13"/>
  <c r="H9" i="16" s="1"/>
  <c r="H5" i="12"/>
  <c r="H65" i="15"/>
  <c r="H66" i="15" l="1"/>
  <c r="G9" i="3"/>
  <c r="H9" i="9"/>
  <c r="H6" i="7"/>
  <c r="H9" i="14"/>
  <c r="H9" i="5"/>
  <c r="H6" i="12"/>
  <c r="G28" i="13"/>
  <c r="H10" i="16" s="1"/>
  <c r="G5" i="15"/>
  <c r="H6" i="14"/>
  <c r="H6" i="5"/>
  <c r="H6" i="6"/>
  <c r="G6" i="3"/>
  <c r="H6" i="9"/>
  <c r="H6" i="4"/>
  <c r="G6" i="15" l="1"/>
  <c r="G10" i="3"/>
  <c r="H7" i="4"/>
  <c r="H7" i="6"/>
  <c r="H10" i="9"/>
  <c r="H7" i="7"/>
  <c r="H10" i="5"/>
  <c r="H7" i="12"/>
  <c r="H10" i="14"/>
  <c r="H67" i="15"/>
  <c r="H68" i="15" l="1"/>
  <c r="H69" i="15" l="1"/>
  <c r="H70" i="15" l="1"/>
  <c r="H71" i="15" l="1"/>
  <c r="H72" i="15" l="1"/>
  <c r="H74" i="15" l="1"/>
  <c r="H73" i="15"/>
  <c r="H76" i="15" l="1"/>
  <c r="I158" i="9" s="1"/>
  <c r="J105" i="8" s="1"/>
  <c r="J124" i="8" s="1"/>
  <c r="J126" i="8" s="1"/>
  <c r="J129" i="8" s="1"/>
  <c r="I138" i="9" l="1"/>
  <c r="J105" i="2" s="1"/>
  <c r="J124" i="2" s="1"/>
  <c r="J126" i="2" s="1"/>
  <c r="H11" i="13" s="1"/>
  <c r="I5" i="16" s="1"/>
  <c r="H6" i="13"/>
  <c r="I8" i="16" l="1"/>
  <c r="D26" i="17"/>
  <c r="L26" i="17" s="1"/>
  <c r="N26" i="17" s="1"/>
  <c r="H8" i="3"/>
  <c r="I5" i="14"/>
  <c r="H5" i="3"/>
  <c r="J129" i="2"/>
  <c r="I5" i="4"/>
  <c r="I5" i="6"/>
  <c r="H12" i="13"/>
  <c r="I6" i="16" s="1"/>
  <c r="I5" i="5"/>
  <c r="H27" i="13"/>
  <c r="H5" i="15" s="1"/>
  <c r="I5" i="9"/>
  <c r="I5" i="12"/>
  <c r="I8" i="14"/>
  <c r="H7" i="13"/>
  <c r="I9" i="16" s="1"/>
  <c r="I8" i="5"/>
  <c r="I5" i="7"/>
  <c r="I8" i="9"/>
  <c r="I6" i="14"/>
  <c r="I6" i="9"/>
  <c r="H9" i="3"/>
  <c r="H28" i="13" l="1"/>
  <c r="I10" i="16" s="1"/>
  <c r="I6" i="6"/>
  <c r="I6" i="4"/>
  <c r="H6" i="3"/>
  <c r="I6" i="5"/>
  <c r="I9" i="5"/>
  <c r="I6" i="12"/>
  <c r="I6" i="7"/>
  <c r="I9" i="14"/>
  <c r="I9" i="9"/>
  <c r="H6" i="15"/>
  <c r="I10" i="14" l="1"/>
  <c r="I7" i="6"/>
  <c r="I10" i="5"/>
  <c r="I10" i="9"/>
  <c r="I7" i="7"/>
  <c r="I7" i="4"/>
  <c r="I7" i="12"/>
  <c r="H10" i="3"/>
</calcChain>
</file>

<file path=xl/sharedStrings.xml><?xml version="1.0" encoding="utf-8"?>
<sst xmlns="http://schemas.openxmlformats.org/spreadsheetml/2006/main" count="1962" uniqueCount="622">
  <si>
    <t>Pay Scale Calculations</t>
  </si>
  <si>
    <t>Percentage of Base Salary</t>
  </si>
  <si>
    <t>Years of</t>
  </si>
  <si>
    <t>Professional</t>
  </si>
  <si>
    <t>Experience</t>
  </si>
  <si>
    <t>BA</t>
  </si>
  <si>
    <t>BA+15</t>
  </si>
  <si>
    <t>MA</t>
  </si>
  <si>
    <t>MA+15</t>
  </si>
  <si>
    <t>PeD/Equ.</t>
  </si>
  <si>
    <t>Step Increase</t>
  </si>
  <si>
    <t>Exp.
Steps</t>
  </si>
  <si>
    <t>Temp</t>
  </si>
  <si>
    <t>Pinellas Preparatory Academy</t>
  </si>
  <si>
    <t>Instructional Salary Schedule</t>
  </si>
  <si>
    <t>2009-10</t>
  </si>
  <si>
    <t>Lvl 1</t>
  </si>
  <si>
    <t>Lvl 2</t>
  </si>
  <si>
    <t>Lvl3</t>
  </si>
  <si>
    <t>Lvl 3</t>
  </si>
  <si>
    <t>Lvl5</t>
  </si>
  <si>
    <t>Temporary
Certificate</t>
  </si>
  <si>
    <t>2010-11</t>
  </si>
  <si>
    <t>Exp.</t>
  </si>
  <si>
    <t>ID</t>
  </si>
  <si>
    <t>Step</t>
  </si>
  <si>
    <t>Lane</t>
  </si>
  <si>
    <t>FTE</t>
  </si>
  <si>
    <t>Principal</t>
  </si>
  <si>
    <t>Classroom Teachers</t>
  </si>
  <si>
    <t>Other Teachers</t>
  </si>
  <si>
    <t>Spanish</t>
  </si>
  <si>
    <t>Phy Ed</t>
  </si>
  <si>
    <t>Art</t>
  </si>
  <si>
    <t>Music</t>
  </si>
  <si>
    <t>Salary</t>
  </si>
  <si>
    <t>Average</t>
  </si>
  <si>
    <t>10-11
Salary</t>
  </si>
  <si>
    <t>11-12
Salary</t>
  </si>
  <si>
    <t>12-13
Salary</t>
  </si>
  <si>
    <t>14-15
Salary</t>
  </si>
  <si>
    <t>16-17
Salary</t>
  </si>
  <si>
    <t>Based on the current numbers:</t>
  </si>
  <si>
    <t>Enrollment and Teacher Staff Needs</t>
  </si>
  <si>
    <t>The numbers in the "Projected Enrollment" column will actually be used to calculate the budget.</t>
  </si>
  <si>
    <t xml:space="preserve">Grade </t>
  </si>
  <si>
    <t>Percent ESE or Gifted</t>
  </si>
  <si>
    <t>Totals</t>
  </si>
  <si>
    <t>Staffing &amp; Employee Costs</t>
  </si>
  <si>
    <t>Teacher Salary</t>
  </si>
  <si>
    <t>PPA</t>
  </si>
  <si>
    <t>Description</t>
  </si>
  <si>
    <t>Benefits</t>
  </si>
  <si>
    <t>Principal Salary</t>
  </si>
  <si>
    <t>Educational Assistants</t>
  </si>
  <si>
    <t>Dean of Students</t>
  </si>
  <si>
    <t>Office Manager</t>
  </si>
  <si>
    <t>Educational Assistant</t>
  </si>
  <si>
    <t>Employer Costs</t>
  </si>
  <si>
    <t xml:space="preserve">We use Gevity to do our employee leasing service.  We pay them 2.35%.  I am not anticiating shopping around for a new service, so I would imagine our employer costs should stay the same as listed below. </t>
  </si>
  <si>
    <t>WC-Teacher</t>
  </si>
  <si>
    <t>WC-Maint</t>
  </si>
  <si>
    <t>SUTA</t>
  </si>
  <si>
    <t>Sum</t>
  </si>
  <si>
    <t>Staffing Cost Summary</t>
  </si>
  <si>
    <t>Social Security</t>
  </si>
  <si>
    <t>Worker's Comp</t>
  </si>
  <si>
    <t>ESE Teacher(s)</t>
  </si>
  <si>
    <t>Educational Assisance</t>
  </si>
  <si>
    <t>Office Staff</t>
  </si>
  <si>
    <t>Purchased Services</t>
  </si>
  <si>
    <t>Property</t>
  </si>
  <si>
    <t>Flood</t>
  </si>
  <si>
    <t>Plant Operations</t>
  </si>
  <si>
    <t>Below is a list of our currently negotiated lease prices.</t>
  </si>
  <si>
    <t>Lease Due</t>
  </si>
  <si>
    <t>Wachovia Loan</t>
  </si>
  <si>
    <t>2006-07</t>
  </si>
  <si>
    <t>2007-08</t>
  </si>
  <si>
    <t>2008-09</t>
  </si>
  <si>
    <t>Fire Alarm Monitoring</t>
  </si>
  <si>
    <t>Pest Control</t>
  </si>
  <si>
    <t>Trash Removal</t>
  </si>
  <si>
    <t>Repair and Maintenance</t>
  </si>
  <si>
    <t>Remodeling and Renovations</t>
  </si>
  <si>
    <t>Storage Unit Rental</t>
  </si>
  <si>
    <t>Professional Development</t>
  </si>
  <si>
    <t>Other Costs</t>
  </si>
  <si>
    <t>Number of books</t>
  </si>
  <si>
    <t>Office Supplies</t>
  </si>
  <si>
    <t>Building Supplies</t>
  </si>
  <si>
    <t>Equipment &amp; Furniture (Non Capitalized)</t>
  </si>
  <si>
    <t>Supplies</t>
  </si>
  <si>
    <t>Income Estimates</t>
  </si>
  <si>
    <t>2002-03</t>
  </si>
  <si>
    <t>2003-04</t>
  </si>
  <si>
    <t>2004-05</t>
  </si>
  <si>
    <t>2005-06</t>
  </si>
  <si>
    <t>2011-12</t>
  </si>
  <si>
    <t>2012-13</t>
  </si>
  <si>
    <t>2013-14</t>
  </si>
  <si>
    <t>2014-15</t>
  </si>
  <si>
    <t>2015-16</t>
  </si>
  <si>
    <t>2016-17</t>
  </si>
  <si>
    <t>13-14
Salary</t>
  </si>
  <si>
    <t>15-16
Salary</t>
  </si>
  <si>
    <t>Maximum
Assumption</t>
  </si>
  <si>
    <t>Conservative
Assumption</t>
  </si>
  <si>
    <t>Capacity</t>
  </si>
  <si>
    <t>Conservative</t>
  </si>
  <si>
    <t>ESE Assume</t>
  </si>
  <si>
    <t xml:space="preserve">Select the amounts that you would like to set for the starting salaries each year. </t>
  </si>
  <si>
    <t>Starting Salary</t>
  </si>
  <si>
    <t>Avg Salary</t>
  </si>
  <si>
    <t>Homeroom Teachers</t>
  </si>
  <si>
    <t>Art Teacher(s)</t>
  </si>
  <si>
    <t>Music Teacher(s)</t>
  </si>
  <si>
    <t>Physical Education Teacher(s)</t>
  </si>
  <si>
    <t>Spanish Teacher(s)</t>
  </si>
  <si>
    <t>Itinerant Teacher(s)</t>
  </si>
  <si>
    <t>Total Teachers</t>
  </si>
  <si>
    <t>PTO Usage</t>
  </si>
  <si>
    <t>Sub Per Day</t>
  </si>
  <si>
    <t>Extra Days</t>
  </si>
  <si>
    <t>Per Increase</t>
  </si>
  <si>
    <t>10-11
PTO BB</t>
  </si>
  <si>
    <t>11-12
PTO BB</t>
  </si>
  <si>
    <t>12-13
PTO BB</t>
  </si>
  <si>
    <t>13-14
PTO BB</t>
  </si>
  <si>
    <t>14-15
PTO BB</t>
  </si>
  <si>
    <t>15-16
PTO BB</t>
  </si>
  <si>
    <t>16-17
PTO BB</t>
  </si>
  <si>
    <t>Sub Costs</t>
  </si>
  <si>
    <t>PTO BuyBack</t>
  </si>
  <si>
    <t>PTO Buy Back and Substitute Teachers</t>
  </si>
  <si>
    <t>Enter the data regarding Assumed PTO Usage and Sub Costs</t>
  </si>
  <si>
    <t>PTO Allowed</t>
  </si>
  <si>
    <t>Benefit Per</t>
  </si>
  <si>
    <t>Other PPA Dedicated Employees</t>
  </si>
  <si>
    <t>Principal Full Time Equivalency</t>
  </si>
  <si>
    <t>Dean Full Time Equivalency</t>
  </si>
  <si>
    <t>Administrative Assistance</t>
  </si>
  <si>
    <t>Salaried</t>
  </si>
  <si>
    <t>Hourly</t>
  </si>
  <si>
    <t>PPA, Jr.</t>
  </si>
  <si>
    <t>% PPA, Jr. %</t>
  </si>
  <si>
    <t>% PPA %</t>
  </si>
  <si>
    <t>Shared Staff Members</t>
  </si>
  <si>
    <t>Teacher Increases</t>
  </si>
  <si>
    <t>CEO / Superintendent</t>
  </si>
  <si>
    <t>Assistant Administrator</t>
  </si>
  <si>
    <t>Asst. Admin. FTE</t>
  </si>
  <si>
    <t>Data Management Tech</t>
  </si>
  <si>
    <t>Counselor</t>
  </si>
  <si>
    <t>Counselor FTE</t>
  </si>
  <si>
    <t>Other</t>
  </si>
  <si>
    <t>Other FTE</t>
  </si>
  <si>
    <t>Office Substitute Hours</t>
  </si>
  <si>
    <t>Office Substitute Rate</t>
  </si>
  <si>
    <t>Gevity Fee</t>
  </si>
  <si>
    <t>Unemp Top</t>
  </si>
  <si>
    <t>5100 - General Academics</t>
  </si>
  <si>
    <t>PTO BB Avg</t>
  </si>
  <si>
    <t>5200 - Special Education</t>
  </si>
  <si>
    <t>7400 - Administration</t>
  </si>
  <si>
    <t>Adm. Asst. Days Per Year</t>
  </si>
  <si>
    <t>Adm. Asst. Hours Per Day</t>
  </si>
  <si>
    <t>Ed. Asst. Days Per Year</t>
  </si>
  <si>
    <t>Ed. Asst. Hours Per Day</t>
  </si>
  <si>
    <t>Other Days Per Year</t>
  </si>
  <si>
    <t>Other Hours Per Day</t>
  </si>
  <si>
    <t>Data Mgmt Hours Per Year</t>
  </si>
  <si>
    <t>Data Mgmt Days Per Hour</t>
  </si>
  <si>
    <t>Office Mgr Days Per Year</t>
  </si>
  <si>
    <t>Office Mgr Hours Per Day</t>
  </si>
  <si>
    <t>FICA</t>
  </si>
  <si>
    <t>Umemployment</t>
  </si>
  <si>
    <t>Number of Ed. Asst.</t>
  </si>
  <si>
    <t>Other (Admin)</t>
  </si>
  <si>
    <t>Other (Teacher)</t>
  </si>
  <si>
    <t>ESE Teacher</t>
  </si>
  <si>
    <t>ESE Teacher FTE</t>
  </si>
  <si>
    <t>Administration</t>
  </si>
  <si>
    <t>Pinellas Preparatory Academy Budget Amounts</t>
  </si>
  <si>
    <t>Pinellas Primary Acaemy Budget Amounts</t>
  </si>
  <si>
    <t>Pre-K</t>
  </si>
  <si>
    <t>K</t>
  </si>
  <si>
    <t>Kind</t>
  </si>
  <si>
    <t>1st</t>
  </si>
  <si>
    <t>2nd</t>
  </si>
  <si>
    <t>3rd</t>
  </si>
  <si>
    <t>4th</t>
  </si>
  <si>
    <t>Reading</t>
  </si>
  <si>
    <t>Specialist Assumed Minutes Per Class Per Week</t>
  </si>
  <si>
    <t>Ed. Asst.</t>
  </si>
  <si>
    <t>Educational Assistant FTE per Classroom</t>
  </si>
  <si>
    <t>Reading Specialist(s)</t>
  </si>
  <si>
    <t>In order to determine the number of teachers, you need to indicate the number of minutes a teacher can teach per week.</t>
  </si>
  <si>
    <t>Minutes Per Week for Full Time Equivalent</t>
  </si>
  <si>
    <t>Assumed Lane</t>
  </si>
  <si>
    <t>Assumed Exp</t>
  </si>
  <si>
    <t>Number of Extra Ed. Asst.</t>
  </si>
  <si>
    <t xml:space="preserve">Calculated Ed Asst (Above) </t>
  </si>
  <si>
    <t>Pinellas Preparatory Academy - Staffing Worksheet</t>
  </si>
  <si>
    <t>Pinellas Primary Academy - Staffing Worksheet</t>
  </si>
  <si>
    <t>Corporate Staffing - Shared Staff Members Worksheet</t>
  </si>
  <si>
    <t>Proposed 2010-11 Budget</t>
  </si>
  <si>
    <t>Estimated Revenue:</t>
  </si>
  <si>
    <t>Capital Outlay Money</t>
  </si>
  <si>
    <t>Teacher Lead Money</t>
  </si>
  <si>
    <t>A+ School Recognition Funds</t>
  </si>
  <si>
    <t>Old/Unexpected Income</t>
  </si>
  <si>
    <t>Total Revenue:</t>
  </si>
  <si>
    <t>Account</t>
  </si>
  <si>
    <t>Code</t>
  </si>
  <si>
    <t>Classroom Instruction  (5100)</t>
  </si>
  <si>
    <t>Salaries</t>
  </si>
  <si>
    <t xml:space="preserve">     Classroom Teachers</t>
  </si>
  <si>
    <t xml:space="preserve">     Other Instructional Staff</t>
  </si>
  <si>
    <t>Substitute Teachers</t>
  </si>
  <si>
    <t>Workers' Compensation</t>
  </si>
  <si>
    <t>Employee Benefits</t>
  </si>
  <si>
    <t>Unemployment Compensation</t>
  </si>
  <si>
    <t xml:space="preserve">Classroom Supplies </t>
  </si>
  <si>
    <t>Instructional Materials (textbooks, workbooks, etc.)</t>
  </si>
  <si>
    <t>Library Media &amp; Library</t>
  </si>
  <si>
    <t>Computer Hardward, Noncap</t>
  </si>
  <si>
    <t>Software, Noncap</t>
  </si>
  <si>
    <t>Dues and Fees</t>
  </si>
  <si>
    <t>Total Instruction</t>
  </si>
  <si>
    <t>ESE Service (5200)</t>
  </si>
  <si>
    <t xml:space="preserve">     Exceptional Education Teachers (ESE separated into 5200) </t>
  </si>
  <si>
    <t>Professional Services</t>
  </si>
  <si>
    <t>Instructional Support Services (6000)</t>
  </si>
  <si>
    <t>Staff Development (6400)</t>
  </si>
  <si>
    <t>Workshop Stipends</t>
  </si>
  <si>
    <t>Hotels</t>
  </si>
  <si>
    <t>Other Materials / Supplies</t>
  </si>
  <si>
    <t>Total Staff Development</t>
  </si>
  <si>
    <t>General Support Services</t>
  </si>
  <si>
    <t>Board (7100)</t>
  </si>
  <si>
    <t>Professional Services (Legal)</t>
  </si>
  <si>
    <t xml:space="preserve">Insurance </t>
  </si>
  <si>
    <t>Total Board</t>
  </si>
  <si>
    <t>General Administration (7200)</t>
  </si>
  <si>
    <t>Administrative Fee</t>
  </si>
  <si>
    <t>Total General Administration</t>
  </si>
  <si>
    <t>School Administration (7300)</t>
  </si>
  <si>
    <t>Administrative Salaries</t>
  </si>
  <si>
    <t xml:space="preserve">     Office Staff</t>
  </si>
  <si>
    <t>Lease</t>
  </si>
  <si>
    <t>Communication</t>
  </si>
  <si>
    <t>Other Services</t>
  </si>
  <si>
    <t>Total School Administration</t>
  </si>
  <si>
    <t>Fiscal Services (7500)</t>
  </si>
  <si>
    <t>Professional Services:</t>
  </si>
  <si>
    <t xml:space="preserve">     Bookkeeping &amp; Audit Fees</t>
  </si>
  <si>
    <t>Bank Fees/Payroll Processing Fees</t>
  </si>
  <si>
    <t>Total Fiscal Services</t>
  </si>
  <si>
    <t>School Lunch Program (7600)</t>
  </si>
  <si>
    <t>***</t>
  </si>
  <si>
    <t>Collected From Students</t>
  </si>
  <si>
    <t>Food</t>
  </si>
  <si>
    <t>Capitalized Furniture</t>
  </si>
  <si>
    <t>Dues &amp; Fees</t>
  </si>
  <si>
    <t>Total Central Services</t>
  </si>
  <si>
    <t>Operation of Plant (7900)</t>
  </si>
  <si>
    <t>Maintenance Employee Payments</t>
  </si>
  <si>
    <t>Building Improvement Payments</t>
  </si>
  <si>
    <t xml:space="preserve">Loan Payments ($225,000 @ 7.75% for 7 years) </t>
  </si>
  <si>
    <t>Property Tax Credit</t>
  </si>
  <si>
    <t>Other Purchased Services</t>
  </si>
  <si>
    <t xml:space="preserve">     Fire Alarm Monitoring</t>
  </si>
  <si>
    <t xml:space="preserve">     Pest Control</t>
  </si>
  <si>
    <t xml:space="preserve">     Trash Removal</t>
  </si>
  <si>
    <t xml:space="preserve">     Air Conditioning Service</t>
  </si>
  <si>
    <t xml:space="preserve">     Security Alarm Monitoring</t>
  </si>
  <si>
    <t xml:space="preserve">     Fire Alarm &amp; Sprinkler System Inspections</t>
  </si>
  <si>
    <t>Electricity</t>
  </si>
  <si>
    <t>Total Operation of Plant</t>
  </si>
  <si>
    <t>Total Budgeted Expenditures</t>
  </si>
  <si>
    <t>Balance</t>
  </si>
  <si>
    <t>7300 - Administration</t>
  </si>
  <si>
    <t xml:space="preserve">ESE Services (Speech and Language, Occupational Therapy, Vision, etc.) </t>
  </si>
  <si>
    <t>Hours per week</t>
  </si>
  <si>
    <t>Cost Per Hour</t>
  </si>
  <si>
    <t xml:space="preserve">Annual Cost: </t>
  </si>
  <si>
    <t>Legal Services</t>
  </si>
  <si>
    <t>Financial Services</t>
  </si>
  <si>
    <t>Auditor (annual)</t>
  </si>
  <si>
    <t>Accountant (Monthly)</t>
  </si>
  <si>
    <t>Insurance Costs</t>
  </si>
  <si>
    <t>Gen. Liability</t>
  </si>
  <si>
    <t>Directors/Employment</t>
  </si>
  <si>
    <t>Student Accident</t>
  </si>
  <si>
    <t>Percentage Increase</t>
  </si>
  <si>
    <t>Other Materials</t>
  </si>
  <si>
    <t>Enter Professional Development on a PER STUDENT BASIS to calculate</t>
  </si>
  <si>
    <t>Textbook Adoptions</t>
  </si>
  <si>
    <t>Adoption Cycle</t>
  </si>
  <si>
    <t>Soc Stud</t>
  </si>
  <si>
    <t>Math</t>
  </si>
  <si>
    <t>Science</t>
  </si>
  <si>
    <t>Lang Arts</t>
  </si>
  <si>
    <t>Misc</t>
  </si>
  <si>
    <t>Est Cost Per Book</t>
  </si>
  <si>
    <t>Replacement Costs</t>
  </si>
  <si>
    <t>Consumable Costs</t>
  </si>
  <si>
    <t>Copy Machine</t>
  </si>
  <si>
    <t>Lease Cost (Annual)</t>
  </si>
  <si>
    <t>Overage Cost</t>
  </si>
  <si>
    <t>Overage Count (Monthly)</t>
  </si>
  <si>
    <t>Other Costs (Enter Per Student to calculator)</t>
  </si>
  <si>
    <t>Classroom Supplies</t>
  </si>
  <si>
    <t>ESE / Gifted Supplies</t>
  </si>
  <si>
    <t>5100 Dues/Fees</t>
  </si>
  <si>
    <t>5200 Dues/Fees</t>
  </si>
  <si>
    <t>Administrative Srvs</t>
  </si>
  <si>
    <t>7300 Dues/Fees</t>
  </si>
  <si>
    <t>Equipment/Furniture</t>
  </si>
  <si>
    <t>Technology</t>
  </si>
  <si>
    <t>Tech Support</t>
  </si>
  <si>
    <t>Computer Repairs</t>
  </si>
  <si>
    <t>Computer Purchases</t>
  </si>
  <si>
    <t>Software Purchases</t>
  </si>
  <si>
    <t>Online Services</t>
  </si>
  <si>
    <t>Athletics</t>
  </si>
  <si>
    <t>Coaching Stipends</t>
  </si>
  <si>
    <t>Library / Media Center</t>
  </si>
  <si>
    <t>Computer Hardward</t>
  </si>
  <si>
    <t>Assumed PTO Buy Back</t>
  </si>
  <si>
    <t>Postage, Communication</t>
  </si>
  <si>
    <t>Communication (Phone/Int)</t>
  </si>
  <si>
    <t>Escrow Payments</t>
  </si>
  <si>
    <t>Improvement Payment</t>
  </si>
  <si>
    <t>Building Purchase</t>
  </si>
  <si>
    <t>Mortgage Payments</t>
  </si>
  <si>
    <t>Additional Payments</t>
  </si>
  <si>
    <t>Per Square Foot Rate</t>
  </si>
  <si>
    <t>Square Footage</t>
  </si>
  <si>
    <t>Are you purchasing the building?</t>
  </si>
  <si>
    <t xml:space="preserve">If Yes, add "True". If no, add "False" </t>
  </si>
  <si>
    <t>Electricity Cost</t>
  </si>
  <si>
    <t>Percent Increase</t>
  </si>
  <si>
    <t>Other Facilities Costs</t>
  </si>
  <si>
    <t>Security Alarm Monitor</t>
  </si>
  <si>
    <t>HVAC Maintenance</t>
  </si>
  <si>
    <t>Repair / Maintenance</t>
  </si>
  <si>
    <t>Fire Alarm / Sprinkler</t>
  </si>
  <si>
    <t>Remodeling/Renovations</t>
  </si>
  <si>
    <t>Facilities Staffing</t>
  </si>
  <si>
    <t>Maintenance Manager Hourely</t>
  </si>
  <si>
    <t>School Year Hours Per Week</t>
  </si>
  <si>
    <t>Summer Hours Per Week</t>
  </si>
  <si>
    <t>Annual Salary</t>
  </si>
  <si>
    <t>Maintenance Assistant One</t>
  </si>
  <si>
    <t>Maintenance Assistant Two</t>
  </si>
  <si>
    <t>Maintenance Assistant Three</t>
  </si>
  <si>
    <t>Maintenance Assistant Four</t>
  </si>
  <si>
    <t>Support Staff</t>
  </si>
  <si>
    <t>Pinellas Primary Academy Budget Amounts</t>
  </si>
  <si>
    <t>Percentages</t>
  </si>
  <si>
    <t>Building Lease or Mortgage</t>
  </si>
  <si>
    <t>Shared Expenses Breakdown</t>
  </si>
  <si>
    <t>Escrow or Additional Pymt</t>
  </si>
  <si>
    <t>If we purchase the building these additional costs will also need to be considered</t>
  </si>
  <si>
    <t>Additional HVAC</t>
  </si>
  <si>
    <t>Other Utilities</t>
  </si>
  <si>
    <t>Insurance</t>
  </si>
  <si>
    <t>Escrow or Additional Payments</t>
  </si>
  <si>
    <t>Utilities</t>
  </si>
  <si>
    <t xml:space="preserve">     Other Services (i.e. Lawn Care)</t>
  </si>
  <si>
    <t>Everything</t>
  </si>
  <si>
    <t>Before Care</t>
  </si>
  <si>
    <t>Students</t>
  </si>
  <si>
    <t>Staff</t>
  </si>
  <si>
    <t>Start Time</t>
  </si>
  <si>
    <t>End Time</t>
  </si>
  <si>
    <t>After Care</t>
  </si>
  <si>
    <t>Early Release</t>
  </si>
  <si>
    <t>Daily Rates:</t>
  </si>
  <si>
    <t>Reduced Lunch Discount</t>
  </si>
  <si>
    <t>Free Lunch Discount</t>
  </si>
  <si>
    <t>Sibling Discount</t>
  </si>
  <si>
    <t>% Qualifying for Reduced</t>
  </si>
  <si>
    <t>% Qualifying for Free</t>
  </si>
  <si>
    <t>% Qualifying for Sibling</t>
  </si>
  <si>
    <t>Start Up Costs</t>
  </si>
  <si>
    <t>Number of Weeks</t>
  </si>
  <si>
    <t>Normal Days</t>
  </si>
  <si>
    <t># Early Release Days</t>
  </si>
  <si>
    <t>1: staff to student ratio</t>
  </si>
  <si>
    <t>Director Rate</t>
  </si>
  <si>
    <t>Assistant Rates</t>
  </si>
  <si>
    <t>Extra Weekly Hour/Director</t>
  </si>
  <si>
    <t>Assumed Usage</t>
  </si>
  <si>
    <t>K - 3</t>
  </si>
  <si>
    <t>Income</t>
  </si>
  <si>
    <t>4 - 6</t>
  </si>
  <si>
    <t>7- 8</t>
  </si>
  <si>
    <t>PPA, Jr K-3 Enrollment</t>
  </si>
  <si>
    <t>PPA, Jr 4th Enrollment</t>
  </si>
  <si>
    <t>PPA 4-6 Enrollment</t>
  </si>
  <si>
    <t>PPA 7-8 Enrollment</t>
  </si>
  <si>
    <t>Assumed Before Care</t>
  </si>
  <si>
    <t>Assumed After Care</t>
  </si>
  <si>
    <t>Staff Needed</t>
  </si>
  <si>
    <t>Director Hours</t>
  </si>
  <si>
    <t>Assistant Hours</t>
  </si>
  <si>
    <t>Salary Amounts</t>
  </si>
  <si>
    <t>Unemployment</t>
  </si>
  <si>
    <t>Before Care Income</t>
  </si>
  <si>
    <t>Full Price</t>
  </si>
  <si>
    <t>Reduced Price</t>
  </si>
  <si>
    <t>Free Price</t>
  </si>
  <si>
    <t>Sibling Price</t>
  </si>
  <si>
    <t>After Care Income</t>
  </si>
  <si>
    <t>Before Care Numbers</t>
  </si>
  <si>
    <t>After Care Numbers</t>
  </si>
  <si>
    <t>Total Income</t>
  </si>
  <si>
    <t>Pinellas Preparatory Academy Budget</t>
  </si>
  <si>
    <t>Expense</t>
  </si>
  <si>
    <t>Remaining</t>
  </si>
  <si>
    <t>Pinellas Primary Academy Budget</t>
  </si>
  <si>
    <t>Before / After Care Program</t>
  </si>
  <si>
    <t>School Lunch Program</t>
  </si>
  <si>
    <t>Expenses</t>
  </si>
  <si>
    <t>Employee Costs</t>
  </si>
  <si>
    <t>Weekly Supplies (Per kid / Per week)</t>
  </si>
  <si>
    <t>Payroll Processing</t>
  </si>
  <si>
    <t>Historical Income Numbers</t>
  </si>
  <si>
    <t>Set Income Numbers</t>
  </si>
  <si>
    <t>Basic 4-8 FTE</t>
  </si>
  <si>
    <t>Basic K-3 FTE</t>
  </si>
  <si>
    <t>ESE 4-8 FTE</t>
  </si>
  <si>
    <t>Discretionary 4-8 Funds</t>
  </si>
  <si>
    <t>Discretionary K-3 Funds</t>
  </si>
  <si>
    <t>ESE K-3 FTE</t>
  </si>
  <si>
    <t>Basic K-3 FTE Increase</t>
  </si>
  <si>
    <t>ESE K-3 Funds Increase</t>
  </si>
  <si>
    <t>ESE 4-8 Funds Increase</t>
  </si>
  <si>
    <t>Basic 4-8 FTE Increase</t>
  </si>
  <si>
    <t>Disc. 4-8 Funds Increase</t>
  </si>
  <si>
    <t>Disc. K-3 Funds Increase</t>
  </si>
  <si>
    <t>Elementary Allocation</t>
  </si>
  <si>
    <t>Middle Allocation</t>
  </si>
  <si>
    <t>FEFP FTE Income</t>
  </si>
  <si>
    <t>Capital Outlay</t>
  </si>
  <si>
    <t>Elementary Increase</t>
  </si>
  <si>
    <t>Middle Increase</t>
  </si>
  <si>
    <t>Teacher Lead Funds</t>
  </si>
  <si>
    <t>Hisorical</t>
  </si>
  <si>
    <t>Assumed Future</t>
  </si>
  <si>
    <t>Income Totals</t>
  </si>
  <si>
    <t>PPA, Jr. FEFP</t>
  </si>
  <si>
    <t>PPA, Jr. Capital Outlay</t>
  </si>
  <si>
    <t>PPA, Jr. Teacher Lead</t>
  </si>
  <si>
    <t>PPA FEFP</t>
  </si>
  <si>
    <t>PPA Capital Outlay</t>
  </si>
  <si>
    <t>PPA Teacher Lead</t>
  </si>
  <si>
    <t>PPAJr Enrollment</t>
  </si>
  <si>
    <t>PPAJr ESE</t>
  </si>
  <si>
    <t>PPA 4th Enrollment</t>
  </si>
  <si>
    <t>PPA 4th ESE</t>
  </si>
  <si>
    <t>PPA 5th Enrollment</t>
  </si>
  <si>
    <t>PPA 5th ESE</t>
  </si>
  <si>
    <t>PPA 6-8 Enrollment</t>
  </si>
  <si>
    <t>PPA 6-8 ESE</t>
  </si>
  <si>
    <t>PPA Income</t>
  </si>
  <si>
    <t>PPA Expense</t>
  </si>
  <si>
    <t>PPA Remain</t>
  </si>
  <si>
    <t>Corp Remain</t>
  </si>
  <si>
    <t>PPAJr Income</t>
  </si>
  <si>
    <t>PPAJr Expense</t>
  </si>
  <si>
    <t>PPAJr Remain</t>
  </si>
  <si>
    <t>Before / After Care Suggestions</t>
  </si>
  <si>
    <t>Pinellas Preparatory Academy Budget Projections</t>
  </si>
  <si>
    <t>Pinellas Primary Academy Budget Projections</t>
  </si>
  <si>
    <t>Before / After Care Projections</t>
  </si>
  <si>
    <t>Combined Budget Amounts</t>
  </si>
  <si>
    <t>Building Purchase Price</t>
  </si>
  <si>
    <t>Realtor Commissions</t>
  </si>
  <si>
    <t>Bank Fees</t>
  </si>
  <si>
    <t>Renovation Costs</t>
  </si>
  <si>
    <t>Initial Payment Set Aside (See below)</t>
  </si>
  <si>
    <t>Finance Amount</t>
  </si>
  <si>
    <t>PPA Expenses minus Facilities</t>
  </si>
  <si>
    <t>PPA Jr Expenses minus Facility</t>
  </si>
  <si>
    <t>Other Expenses</t>
  </si>
  <si>
    <t>Corporate Remaining Without Building</t>
  </si>
  <si>
    <t>Potential Loan Principle</t>
  </si>
  <si>
    <t>Primary Loan</t>
  </si>
  <si>
    <t>Secondary Loan</t>
  </si>
  <si>
    <t>Percent of Principle</t>
  </si>
  <si>
    <t>Amoritization Term (Years)</t>
  </si>
  <si>
    <t>Annual Percentage Rate</t>
  </si>
  <si>
    <t>Principle Amount</t>
  </si>
  <si>
    <t>Annual Payments</t>
  </si>
  <si>
    <t>Total Annual Payments</t>
  </si>
  <si>
    <t xml:space="preserve">Current Expenditures without a building (estimating available payment amounts) </t>
  </si>
  <si>
    <t>Loan Assumptions</t>
  </si>
  <si>
    <t>Initial Payment Set Asides</t>
  </si>
  <si>
    <t>Amount to set aside for payments</t>
  </si>
  <si>
    <t>Additional Purchase Payments</t>
  </si>
  <si>
    <t xml:space="preserve">District Fees (5% of 250 students) </t>
  </si>
  <si>
    <t>PPA Avg Per Student</t>
  </si>
  <si>
    <t>PPAJr Avg Per Student</t>
  </si>
  <si>
    <t>PPA District Fee</t>
  </si>
  <si>
    <t>PPA Jr District Fee</t>
  </si>
  <si>
    <t>Set Aside Pymts in Loan</t>
  </si>
  <si>
    <t>Corp Income</t>
  </si>
  <si>
    <t>Corp Expense</t>
  </si>
  <si>
    <t>Interest Only Payments (Year 1)</t>
  </si>
  <si>
    <t>Interest Only Payments (Year 2)</t>
  </si>
  <si>
    <t>Interest Only Year 1</t>
  </si>
  <si>
    <t>Interest Only Year 2</t>
  </si>
  <si>
    <t>Prorated 2010-11 Cost</t>
  </si>
  <si>
    <t>Total Building Cost</t>
  </si>
  <si>
    <t>Year 1</t>
  </si>
  <si>
    <t>Year 2</t>
  </si>
  <si>
    <t>Year 3</t>
  </si>
  <si>
    <t>Year 4</t>
  </si>
  <si>
    <t>Year 5</t>
  </si>
  <si>
    <t>Year 6</t>
  </si>
  <si>
    <t>Year 7</t>
  </si>
  <si>
    <t>Assumed Closing Date 
(Use 1st Day of Month)</t>
  </si>
  <si>
    <t>Lease Payments</t>
  </si>
  <si>
    <t>Shared</t>
  </si>
  <si>
    <t>Principal/CEO</t>
  </si>
  <si>
    <t>Assistant Admin/Deans</t>
  </si>
  <si>
    <t>Other Hourly</t>
  </si>
  <si>
    <t>Reading Specialist</t>
  </si>
  <si>
    <t>Office Staff (Hourly)</t>
  </si>
  <si>
    <t>Maintenance Staff</t>
  </si>
  <si>
    <t>Administrators</t>
  </si>
  <si>
    <t>Academic</t>
  </si>
  <si>
    <t>Before / After Care Staff</t>
  </si>
  <si>
    <t>B/A Care (PT)</t>
  </si>
  <si>
    <t>Office Support</t>
  </si>
  <si>
    <t>Other Support</t>
  </si>
  <si>
    <t>Total Employees</t>
  </si>
  <si>
    <t>Staff Numbers Summary</t>
  </si>
  <si>
    <t>Pinellas Preparatory Academy, Inc.</t>
  </si>
  <si>
    <t>Building Purchase Estimates</t>
  </si>
  <si>
    <t>Year</t>
  </si>
  <si>
    <t>Complete Corporate Staffing Summary</t>
  </si>
  <si>
    <t xml:space="preserve">Facilities Cost Estimate (Shared Between PPA and PPA, Jr) </t>
  </si>
  <si>
    <t>Current Employee Pay Schedules</t>
  </si>
  <si>
    <t>Net</t>
  </si>
  <si>
    <t>Cash Fund Balance</t>
  </si>
  <si>
    <t>Total Expenditures</t>
  </si>
  <si>
    <t>Audited Net Assets</t>
  </si>
  <si>
    <t>Audited
Fund Balance</t>
  </si>
  <si>
    <t xml:space="preserve">Pinellas Preparatory Academy Audit History </t>
  </si>
  <si>
    <t>Total 
Revenues</t>
  </si>
  <si>
    <t>PPA, Jr. Budget</t>
  </si>
  <si>
    <t>PPA Budget</t>
  </si>
  <si>
    <t xml:space="preserve">** Audit in Progress ** </t>
  </si>
  <si>
    <t>Estimated Fund Balance</t>
  </si>
  <si>
    <t>Café tables</t>
  </si>
  <si>
    <t>Classroom Technology</t>
  </si>
  <si>
    <t>Classroom Computers</t>
  </si>
  <si>
    <t>Account Codes</t>
  </si>
  <si>
    <t>Assuming PPA, Jr. Granted Planning Grant</t>
  </si>
  <si>
    <t>Assuming No Planning Grant</t>
  </si>
  <si>
    <t>Grant
Qty</t>
  </si>
  <si>
    <t>Grant 
Total</t>
  </si>
  <si>
    <t>Cash 
Reserve 
Qty</t>
  </si>
  <si>
    <t>Cash 
Reserve 
Total</t>
  </si>
  <si>
    <t>Operating 
Total</t>
  </si>
  <si>
    <t>Oprting
Qty</t>
  </si>
  <si>
    <t>Federal Start-Up Grant</t>
  </si>
  <si>
    <t>Classroom Stocking Supplies</t>
  </si>
  <si>
    <t>Manipulative Supplies</t>
  </si>
  <si>
    <t>Music Supplies</t>
  </si>
  <si>
    <t>Art Supplies</t>
  </si>
  <si>
    <t>Library Books</t>
  </si>
  <si>
    <t>Phy Ed Supplies</t>
  </si>
  <si>
    <t>General Academic Supplies</t>
  </si>
  <si>
    <t>Teacher Laptops</t>
  </si>
  <si>
    <t>Classroom Printers</t>
  </si>
  <si>
    <t>Language Arts</t>
  </si>
  <si>
    <t>Social Studies</t>
  </si>
  <si>
    <t>Stanford Assessments</t>
  </si>
  <si>
    <t>Document Camera</t>
  </si>
  <si>
    <t>Student Chairs</t>
  </si>
  <si>
    <t>Tables/Desks</t>
  </si>
  <si>
    <t>Teacher Desk</t>
  </si>
  <si>
    <t>Teacher Chair</t>
  </si>
  <si>
    <t>Cubbies</t>
  </si>
  <si>
    <t>File Cabinets</t>
  </si>
  <si>
    <t>Book Shelves</t>
  </si>
  <si>
    <t>Telephones</t>
  </si>
  <si>
    <t>Shelving Units</t>
  </si>
  <si>
    <t>LCD Projectors</t>
  </si>
  <si>
    <t>Classroom Televisions</t>
  </si>
  <si>
    <t>Cleaning Equipment and Supplies</t>
  </si>
  <si>
    <t>Printer / Faxes</t>
  </si>
  <si>
    <t>Computers</t>
  </si>
  <si>
    <t>New Employee Backgroud Checks</t>
  </si>
  <si>
    <t>Ind.
Cost</t>
  </si>
  <si>
    <t>Pinellas Preparatory Academy, Inc. Cash Reserve</t>
  </si>
  <si>
    <t>Industrial Refrigerator</t>
  </si>
  <si>
    <t>Miscellaneous Items</t>
  </si>
  <si>
    <t>Activity Tables</t>
  </si>
  <si>
    <t>Miscellaneous Supplies</t>
  </si>
  <si>
    <t>-Start Up-</t>
  </si>
  <si>
    <t>↓ Includes Start Up Costs</t>
  </si>
  <si>
    <t>5100-510 Academic Supplies</t>
  </si>
  <si>
    <t>5100-644 Computers / Technology</t>
  </si>
  <si>
    <t>5100-520 Instructional Materials</t>
  </si>
  <si>
    <t>7900-642 Furniture</t>
  </si>
  <si>
    <t>7900-510 Facilities Supplies / Equipment</t>
  </si>
  <si>
    <t>7300-510 Administrative Supplies</t>
  </si>
  <si>
    <t>7300-730 Administrative Services</t>
  </si>
  <si>
    <t>Total Expenses</t>
  </si>
  <si>
    <t>Salary + benefits + employer cost</t>
  </si>
  <si>
    <t>7300-110 Administrative Staffing</t>
  </si>
  <si>
    <t>PPA, Jr. Operating Budget</t>
  </si>
  <si>
    <t>Pinellas Primary Academy Start Up Costs</t>
  </si>
  <si>
    <t>Pinellas Preparatory Academy General Questionnaire</t>
  </si>
  <si>
    <t>Pinellas Primary Academy General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</si>
</sst>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00%"/>
    <numFmt numFmtId="167" formatCode="0.0"/>
    <numFmt numFmtId="168" formatCode="_(* #,##0_);_(* \(#,##0\);_(* &quot;-&quot;??_);_(@_)"/>
    <numFmt numFmtId="169" formatCode="_(&quot;$&quot;* #,##0.00_);_(&quot;$&quot;* \(#,##0.00\);_(&quot;$&quot;* &quot;-&quot;??_);_(* @_)"/>
    <numFmt numFmtId="170" formatCode="[$-F800]dddd\,\ mmmm\ dd\,\ yyyy"/>
    <numFmt numFmtId="171" formatCode="_(&quot;$&quot;* #,##0.000_);_(&quot;$&quot;* \(#,##0.000\);_(&quot;$&quot;* &quot;-&quot;??_);_(@_)"/>
    <numFmt numFmtId="172" formatCode="&quot;$&quot;#,##0"/>
    <numFmt numFmtId="173" formatCode="0.000000%"/>
    <numFmt numFmtId="174" formatCode="m/d/yy;@"/>
    <numFmt numFmtId="175" formatCode="mmm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Univers (W1)"/>
    </font>
    <font>
      <b/>
      <i/>
      <sz val="16"/>
      <name val="Arial"/>
      <family val="2"/>
    </font>
    <font>
      <b/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i/>
      <sz val="7"/>
      <name val="Arial"/>
      <family val="2"/>
    </font>
    <font>
      <sz val="7"/>
      <color theme="0" tint="-0.499984740745262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11"/>
      <color theme="0" tint="-0.249977111117893"/>
      <name val="Calibri"/>
      <family val="2"/>
      <scheme val="minor"/>
    </font>
    <font>
      <u/>
      <sz val="14"/>
      <name val="Berlin Sans FB"/>
      <family val="2"/>
    </font>
    <font>
      <sz val="18"/>
      <color theme="0"/>
      <name val="Arial Black"/>
      <family val="2"/>
    </font>
    <font>
      <sz val="18"/>
      <color theme="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17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6" borderId="27" applyNumberFormat="0" applyFont="0" applyAlignment="0" applyProtection="0"/>
    <xf numFmtId="5" fontId="11" fillId="0" borderId="18"/>
    <xf numFmtId="43" fontId="1" fillId="0" borderId="0" applyFont="0" applyFill="0" applyBorder="0" applyAlignment="0" applyProtection="0"/>
    <xf numFmtId="170" fontId="20" fillId="9" borderId="0" applyNumberFormat="0" applyBorder="0" applyAlignment="0" applyProtection="0"/>
    <xf numFmtId="170" fontId="20" fillId="10" borderId="0" applyNumberFormat="0" applyBorder="0" applyAlignment="0" applyProtection="0"/>
    <xf numFmtId="170" fontId="20" fillId="6" borderId="0" applyNumberFormat="0" applyBorder="0" applyAlignment="0" applyProtection="0"/>
    <xf numFmtId="170" fontId="20" fillId="11" borderId="0" applyNumberFormat="0" applyBorder="0" applyAlignment="0" applyProtection="0"/>
    <xf numFmtId="170" fontId="20" fillId="12" borderId="0" applyNumberFormat="0" applyBorder="0" applyAlignment="0" applyProtection="0"/>
    <xf numFmtId="170" fontId="20" fillId="6" borderId="0" applyNumberFormat="0" applyBorder="0" applyAlignment="0" applyProtection="0"/>
    <xf numFmtId="170" fontId="20" fillId="12" borderId="0" applyNumberFormat="0" applyBorder="0" applyAlignment="0" applyProtection="0"/>
    <xf numFmtId="170" fontId="20" fillId="10" borderId="0" applyNumberFormat="0" applyBorder="0" applyAlignment="0" applyProtection="0"/>
    <xf numFmtId="170" fontId="20" fillId="13" borderId="0" applyNumberFormat="0" applyBorder="0" applyAlignment="0" applyProtection="0"/>
    <xf numFmtId="170" fontId="20" fillId="14" borderId="0" applyNumberFormat="0" applyBorder="0" applyAlignment="0" applyProtection="0"/>
    <xf numFmtId="170" fontId="20" fillId="12" borderId="0" applyNumberFormat="0" applyBorder="0" applyAlignment="0" applyProtection="0"/>
    <xf numFmtId="170" fontId="20" fillId="6" borderId="0" applyNumberFormat="0" applyBorder="0" applyAlignment="0" applyProtection="0"/>
    <xf numFmtId="170" fontId="21" fillId="12" borderId="0" applyNumberFormat="0" applyBorder="0" applyAlignment="0" applyProtection="0"/>
    <xf numFmtId="170" fontId="21" fillId="15" borderId="0" applyNumberFormat="0" applyBorder="0" applyAlignment="0" applyProtection="0"/>
    <xf numFmtId="170" fontId="21" fillId="16" borderId="0" applyNumberFormat="0" applyBorder="0" applyAlignment="0" applyProtection="0"/>
    <xf numFmtId="170" fontId="21" fillId="14" borderId="0" applyNumberFormat="0" applyBorder="0" applyAlignment="0" applyProtection="0"/>
    <xf numFmtId="170" fontId="21" fillId="12" borderId="0" applyNumberFormat="0" applyBorder="0" applyAlignment="0" applyProtection="0"/>
    <xf numFmtId="170" fontId="21" fillId="10" borderId="0" applyNumberFormat="0" applyBorder="0" applyAlignment="0" applyProtection="0"/>
    <xf numFmtId="170" fontId="21" fillId="17" borderId="0" applyNumberFormat="0" applyBorder="0" applyAlignment="0" applyProtection="0"/>
    <xf numFmtId="170" fontId="21" fillId="15" borderId="0" applyNumberFormat="0" applyBorder="0" applyAlignment="0" applyProtection="0"/>
    <xf numFmtId="170" fontId="21" fillId="16" borderId="0" applyNumberFormat="0" applyBorder="0" applyAlignment="0" applyProtection="0"/>
    <xf numFmtId="170" fontId="21" fillId="18" borderId="0" applyNumberFormat="0" applyBorder="0" applyAlignment="0" applyProtection="0"/>
    <xf numFmtId="170" fontId="21" fillId="19" borderId="0" applyNumberFormat="0" applyBorder="0" applyAlignment="0" applyProtection="0"/>
    <xf numFmtId="170" fontId="21" fillId="20" borderId="0" applyNumberFormat="0" applyBorder="0" applyAlignment="0" applyProtection="0"/>
    <xf numFmtId="170" fontId="22" fillId="21" borderId="0" applyNumberFormat="0" applyBorder="0" applyAlignment="0" applyProtection="0"/>
    <xf numFmtId="170" fontId="23" fillId="22" borderId="31" applyNumberFormat="0" applyAlignment="0" applyProtection="0"/>
    <xf numFmtId="170" fontId="24" fillId="23" borderId="32" applyNumberFormat="0" applyAlignment="0" applyProtection="0"/>
    <xf numFmtId="170" fontId="25" fillId="0" borderId="0" applyNumberFormat="0" applyFill="0" applyBorder="0" applyAlignment="0" applyProtection="0"/>
    <xf numFmtId="170" fontId="26" fillId="12" borderId="0" applyNumberFormat="0" applyBorder="0" applyAlignment="0" applyProtection="0"/>
    <xf numFmtId="170" fontId="27" fillId="0" borderId="33" applyNumberFormat="0" applyFill="0" applyAlignment="0" applyProtection="0"/>
    <xf numFmtId="170" fontId="28" fillId="0" borderId="34" applyNumberFormat="0" applyFill="0" applyAlignment="0" applyProtection="0"/>
    <xf numFmtId="170" fontId="29" fillId="0" borderId="35" applyNumberFormat="0" applyFill="0" applyAlignment="0" applyProtection="0"/>
    <xf numFmtId="170" fontId="29" fillId="0" borderId="0" applyNumberFormat="0" applyFill="0" applyBorder="0" applyAlignment="0" applyProtection="0"/>
    <xf numFmtId="170" fontId="30" fillId="13" borderId="31" applyNumberFormat="0" applyAlignment="0" applyProtection="0"/>
    <xf numFmtId="170" fontId="31" fillId="0" borderId="36" applyNumberFormat="0" applyFill="0" applyAlignment="0" applyProtection="0"/>
    <xf numFmtId="170" fontId="32" fillId="13" borderId="0" applyNumberFormat="0" applyBorder="0" applyAlignment="0" applyProtection="0"/>
    <xf numFmtId="170" fontId="33" fillId="22" borderId="37" applyNumberFormat="0" applyAlignment="0" applyProtection="0"/>
    <xf numFmtId="170" fontId="34" fillId="0" borderId="0" applyNumberFormat="0" applyFill="0" applyBorder="0" applyAlignment="0" applyProtection="0"/>
    <xf numFmtId="170" fontId="35" fillId="0" borderId="38" applyNumberFormat="0" applyFill="0" applyAlignment="0" applyProtection="0"/>
    <xf numFmtId="170" fontId="31" fillId="0" borderId="0" applyNumberFormat="0" applyFill="0" applyBorder="0" applyAlignment="0" applyProtection="0"/>
    <xf numFmtId="0" fontId="47" fillId="0" borderId="0"/>
  </cellStyleXfs>
  <cellXfs count="433">
    <xf numFmtId="170" fontId="0" fillId="0" borderId="0" xfId="0"/>
    <xf numFmtId="170" fontId="0" fillId="0" borderId="0" xfId="0" applyAlignment="1">
      <alignment horizontal="centerContinuous"/>
    </xf>
    <xf numFmtId="170" fontId="3" fillId="0" borderId="0" xfId="0" applyFont="1" applyAlignment="1">
      <alignment horizontal="centerContinuous"/>
    </xf>
    <xf numFmtId="170" fontId="0" fillId="0" borderId="1" xfId="0" applyBorder="1"/>
    <xf numFmtId="170" fontId="0" fillId="0" borderId="2" xfId="0" applyBorder="1"/>
    <xf numFmtId="170" fontId="0" fillId="0" borderId="4" xfId="0" applyBorder="1"/>
    <xf numFmtId="170" fontId="0" fillId="0" borderId="5" xfId="0" applyBorder="1"/>
    <xf numFmtId="170" fontId="0" fillId="0" borderId="6" xfId="0" applyBorder="1"/>
    <xf numFmtId="170" fontId="4" fillId="0" borderId="0" xfId="0" applyFont="1" applyFill="1"/>
    <xf numFmtId="170" fontId="0" fillId="0" borderId="0" xfId="0" applyFill="1"/>
    <xf numFmtId="170" fontId="0" fillId="0" borderId="0" xfId="0" applyFill="1" applyAlignment="1">
      <alignment horizontal="center"/>
    </xf>
    <xf numFmtId="170" fontId="0" fillId="0" borderId="12" xfId="0" applyFill="1" applyBorder="1"/>
    <xf numFmtId="170" fontId="0" fillId="0" borderId="13" xfId="0" applyFill="1" applyBorder="1"/>
    <xf numFmtId="170" fontId="0" fillId="0" borderId="6" xfId="0" applyFill="1" applyBorder="1"/>
    <xf numFmtId="170" fontId="5" fillId="0" borderId="0" xfId="0" applyFont="1" applyFill="1" applyAlignment="1">
      <alignment horizontal="center"/>
    </xf>
    <xf numFmtId="170" fontId="0" fillId="0" borderId="14" xfId="0" applyFill="1" applyBorder="1" applyAlignment="1"/>
    <xf numFmtId="3" fontId="6" fillId="0" borderId="3" xfId="1" applyNumberFormat="1" applyFont="1" applyFill="1" applyBorder="1"/>
    <xf numFmtId="170" fontId="3" fillId="2" borderId="11" xfId="0" applyFont="1" applyFill="1" applyBorder="1" applyAlignment="1">
      <alignment horizontal="center" wrapText="1"/>
    </xf>
    <xf numFmtId="170" fontId="3" fillId="2" borderId="11" xfId="0" applyFont="1" applyFill="1" applyBorder="1" applyAlignment="1">
      <alignment wrapText="1"/>
    </xf>
    <xf numFmtId="170" fontId="7" fillId="3" borderId="0" xfId="0" applyFont="1" applyFill="1" applyBorder="1" applyAlignment="1">
      <alignment horizontal="left"/>
    </xf>
    <xf numFmtId="170" fontId="3" fillId="3" borderId="3" xfId="0" applyFont="1" applyFill="1" applyBorder="1" applyAlignment="1">
      <alignment wrapText="1"/>
    </xf>
    <xf numFmtId="164" fontId="3" fillId="3" borderId="3" xfId="1" applyNumberFormat="1" applyFont="1" applyFill="1" applyBorder="1" applyAlignment="1">
      <alignment wrapText="1"/>
    </xf>
    <xf numFmtId="164" fontId="0" fillId="0" borderId="0" xfId="0" applyNumberFormat="1"/>
    <xf numFmtId="170" fontId="0" fillId="4" borderId="3" xfId="0" applyFill="1" applyBorder="1"/>
    <xf numFmtId="164" fontId="0" fillId="4" borderId="3" xfId="0" applyNumberFormat="1" applyFill="1" applyBorder="1"/>
    <xf numFmtId="170" fontId="8" fillId="0" borderId="0" xfId="3" applyFont="1" applyProtection="1"/>
    <xf numFmtId="170" fontId="6" fillId="0" borderId="0" xfId="3" applyProtection="1"/>
    <xf numFmtId="170" fontId="5" fillId="0" borderId="0" xfId="3" applyFont="1" applyProtection="1"/>
    <xf numFmtId="165" fontId="6" fillId="0" borderId="0" xfId="3" applyNumberFormat="1" applyProtection="1"/>
    <xf numFmtId="44" fontId="6" fillId="0" borderId="0" xfId="3" applyNumberFormat="1" applyProtection="1"/>
    <xf numFmtId="170" fontId="6" fillId="0" borderId="15" xfId="3" applyBorder="1" applyProtection="1"/>
    <xf numFmtId="170" fontId="6" fillId="0" borderId="2" xfId="3" applyBorder="1" applyAlignment="1" applyProtection="1">
      <alignment horizontal="right"/>
    </xf>
    <xf numFmtId="164" fontId="0" fillId="0" borderId="3" xfId="4" applyNumberFormat="1" applyFont="1" applyBorder="1" applyProtection="1"/>
    <xf numFmtId="164" fontId="6" fillId="0" borderId="0" xfId="3" applyNumberFormat="1" applyProtection="1"/>
    <xf numFmtId="170" fontId="8" fillId="2" borderId="16" xfId="3" applyFont="1" applyFill="1" applyBorder="1" applyProtection="1"/>
    <xf numFmtId="170" fontId="6" fillId="2" borderId="16" xfId="3" applyFill="1" applyBorder="1" applyProtection="1"/>
    <xf numFmtId="44" fontId="0" fillId="0" borderId="0" xfId="4" applyFont="1" applyFill="1" applyBorder="1" applyProtection="1"/>
    <xf numFmtId="170" fontId="6" fillId="0" borderId="0" xfId="3" applyBorder="1" applyAlignment="1" applyProtection="1">
      <alignment horizontal="left"/>
    </xf>
    <xf numFmtId="170" fontId="6" fillId="0" borderId="0" xfId="3" applyFill="1" applyBorder="1" applyAlignment="1" applyProtection="1">
      <alignment horizontal="left"/>
    </xf>
    <xf numFmtId="170" fontId="6" fillId="0" borderId="0" xfId="3" applyFill="1" applyProtection="1"/>
    <xf numFmtId="170" fontId="8" fillId="0" borderId="16" xfId="3" applyFont="1" applyBorder="1" applyProtection="1"/>
    <xf numFmtId="170" fontId="6" fillId="0" borderId="16" xfId="3" applyBorder="1" applyProtection="1"/>
    <xf numFmtId="170" fontId="9" fillId="0" borderId="0" xfId="3" applyFont="1" applyProtection="1"/>
    <xf numFmtId="10" fontId="0" fillId="0" borderId="0" xfId="4" applyNumberFormat="1" applyFont="1" applyFill="1" applyBorder="1" applyProtection="1"/>
    <xf numFmtId="170" fontId="6" fillId="0" borderId="0" xfId="3" applyAlignment="1" applyProtection="1">
      <alignment wrapText="1"/>
    </xf>
    <xf numFmtId="170" fontId="6" fillId="0" borderId="0" xfId="3" applyBorder="1" applyAlignment="1" applyProtection="1">
      <alignment wrapText="1"/>
    </xf>
    <xf numFmtId="170" fontId="6" fillId="0" borderId="0" xfId="3" applyBorder="1" applyProtection="1"/>
    <xf numFmtId="44" fontId="6" fillId="0" borderId="0" xfId="3" applyNumberFormat="1" applyBorder="1" applyProtection="1"/>
    <xf numFmtId="44" fontId="6" fillId="0" borderId="0" xfId="3" applyNumberFormat="1" applyFill="1" applyBorder="1" applyProtection="1"/>
    <xf numFmtId="164" fontId="0" fillId="0" borderId="2" xfId="4" applyNumberFormat="1" applyFont="1" applyBorder="1" applyProtection="1"/>
    <xf numFmtId="44" fontId="0" fillId="0" borderId="0" xfId="4" applyFont="1" applyBorder="1" applyProtection="1"/>
    <xf numFmtId="170" fontId="5" fillId="0" borderId="3" xfId="3" applyFont="1" applyBorder="1" applyAlignment="1" applyProtection="1">
      <alignment horizontal="right"/>
    </xf>
    <xf numFmtId="168" fontId="0" fillId="5" borderId="3" xfId="6" applyNumberFormat="1" applyFont="1" applyFill="1" applyBorder="1" applyProtection="1">
      <protection locked="0"/>
    </xf>
    <xf numFmtId="9" fontId="6" fillId="7" borderId="3" xfId="3" applyNumberFormat="1" applyFill="1" applyBorder="1" applyAlignment="1" applyProtection="1">
      <alignment horizontal="center"/>
      <protection locked="0"/>
    </xf>
    <xf numFmtId="170" fontId="5" fillId="0" borderId="0" xfId="3" applyFont="1" applyBorder="1" applyAlignment="1" applyProtection="1">
      <alignment horizontal="center" wrapText="1"/>
    </xf>
    <xf numFmtId="170" fontId="5" fillId="8" borderId="3" xfId="3" quotePrefix="1" applyFont="1" applyFill="1" applyBorder="1" applyAlignment="1" applyProtection="1">
      <alignment horizontal="center" wrapText="1"/>
    </xf>
    <xf numFmtId="164" fontId="6" fillId="7" borderId="3" xfId="1" applyNumberFormat="1" applyFont="1" applyFill="1" applyBorder="1" applyAlignment="1" applyProtection="1">
      <alignment horizontal="center"/>
      <protection locked="0"/>
    </xf>
    <xf numFmtId="170" fontId="6" fillId="8" borderId="0" xfId="3" applyFont="1" applyFill="1" applyBorder="1" applyAlignment="1" applyProtection="1">
      <alignment horizontal="center"/>
    </xf>
    <xf numFmtId="44" fontId="6" fillId="7" borderId="3" xfId="1" applyNumberFormat="1" applyFont="1" applyFill="1" applyBorder="1" applyAlignment="1" applyProtection="1">
      <alignment horizontal="center"/>
      <protection locked="0"/>
    </xf>
    <xf numFmtId="8" fontId="6" fillId="7" borderId="3" xfId="1" applyNumberFormat="1" applyFont="1" applyFill="1" applyBorder="1" applyAlignment="1" applyProtection="1">
      <alignment horizontal="center"/>
      <protection locked="0"/>
    </xf>
    <xf numFmtId="170" fontId="6" fillId="7" borderId="3" xfId="1" applyNumberFormat="1" applyFont="1" applyFill="1" applyBorder="1" applyAlignment="1" applyProtection="1">
      <alignment horizontal="center"/>
      <protection locked="0"/>
    </xf>
    <xf numFmtId="44" fontId="6" fillId="0" borderId="3" xfId="1" applyNumberFormat="1" applyFont="1" applyFill="1" applyBorder="1" applyAlignment="1" applyProtection="1">
      <alignment horizontal="center"/>
    </xf>
    <xf numFmtId="44" fontId="6" fillId="7" borderId="3" xfId="1" applyFont="1" applyFill="1" applyBorder="1" applyAlignment="1" applyProtection="1">
      <alignment horizontal="center"/>
      <protection locked="0"/>
    </xf>
    <xf numFmtId="164" fontId="6" fillId="0" borderId="3" xfId="1" applyNumberFormat="1" applyFont="1" applyFill="1" applyBorder="1" applyAlignment="1" applyProtection="1">
      <alignment horizontal="center"/>
    </xf>
    <xf numFmtId="44" fontId="0" fillId="0" borderId="0" xfId="0" applyNumberFormat="1"/>
    <xf numFmtId="16" fontId="3" fillId="2" borderId="3" xfId="0" quotePrefix="1" applyNumberFormat="1" applyFont="1" applyFill="1" applyBorder="1" applyAlignment="1">
      <alignment wrapText="1"/>
    </xf>
    <xf numFmtId="44" fontId="0" fillId="0" borderId="3" xfId="0" applyNumberFormat="1" applyBorder="1"/>
    <xf numFmtId="164" fontId="6" fillId="0" borderId="3" xfId="3" applyNumberFormat="1" applyBorder="1" applyAlignment="1" applyProtection="1">
      <alignment horizontal="left"/>
    </xf>
    <xf numFmtId="164" fontId="6" fillId="0" borderId="3" xfId="1" applyNumberFormat="1" applyFont="1" applyBorder="1" applyProtection="1"/>
    <xf numFmtId="9" fontId="6" fillId="7" borderId="3" xfId="2" applyFont="1" applyFill="1" applyBorder="1" applyAlignment="1" applyProtection="1">
      <alignment horizontal="center"/>
      <protection locked="0"/>
    </xf>
    <xf numFmtId="10" fontId="6" fillId="7" borderId="3" xfId="2" applyNumberFormat="1" applyFont="1" applyFill="1" applyBorder="1" applyAlignment="1" applyProtection="1">
      <alignment horizontal="center"/>
      <protection locked="0"/>
    </xf>
    <xf numFmtId="167" fontId="6" fillId="7" borderId="3" xfId="1" applyNumberFormat="1" applyFont="1" applyFill="1" applyBorder="1" applyAlignment="1" applyProtection="1">
      <alignment horizontal="center"/>
      <protection locked="0"/>
    </xf>
    <xf numFmtId="170" fontId="3" fillId="0" borderId="0" xfId="3" applyFont="1" applyProtection="1"/>
    <xf numFmtId="10" fontId="6" fillId="0" borderId="3" xfId="1" applyNumberFormat="1" applyFont="1" applyFill="1" applyBorder="1" applyAlignment="1" applyProtection="1">
      <alignment horizontal="center"/>
    </xf>
    <xf numFmtId="10" fontId="6" fillId="0" borderId="3" xfId="2" applyNumberFormat="1" applyFont="1" applyFill="1" applyBorder="1" applyAlignment="1" applyProtection="1">
      <alignment horizontal="center"/>
    </xf>
    <xf numFmtId="10" fontId="0" fillId="0" borderId="0" xfId="0" applyNumberFormat="1"/>
    <xf numFmtId="3" fontId="6" fillId="0" borderId="0" xfId="1" applyNumberFormat="1" applyFont="1" applyFill="1" applyBorder="1"/>
    <xf numFmtId="10" fontId="6" fillId="7" borderId="3" xfId="1" applyNumberFormat="1" applyFont="1" applyFill="1" applyBorder="1" applyAlignment="1" applyProtection="1">
      <alignment horizontal="center"/>
      <protection locked="0"/>
    </xf>
    <xf numFmtId="6" fontId="6" fillId="7" borderId="3" xfId="1" applyNumberFormat="1" applyFont="1" applyFill="1" applyBorder="1" applyAlignment="1" applyProtection="1">
      <alignment horizontal="center"/>
      <protection locked="0"/>
    </xf>
    <xf numFmtId="44" fontId="0" fillId="0" borderId="3" xfId="4" applyNumberFormat="1" applyFont="1" applyBorder="1" applyProtection="1"/>
    <xf numFmtId="44" fontId="0" fillId="0" borderId="3" xfId="1" applyFont="1" applyBorder="1" applyProtection="1"/>
    <xf numFmtId="164" fontId="0" fillId="0" borderId="3" xfId="1" applyNumberFormat="1" applyFont="1" applyBorder="1" applyProtection="1"/>
    <xf numFmtId="44" fontId="0" fillId="0" borderId="3" xfId="1" applyNumberFormat="1" applyFont="1" applyBorder="1" applyProtection="1"/>
    <xf numFmtId="1" fontId="6" fillId="7" borderId="3" xfId="1" applyNumberFormat="1" applyFont="1" applyFill="1" applyBorder="1" applyAlignment="1" applyProtection="1">
      <alignment horizontal="center"/>
      <protection locked="0"/>
    </xf>
    <xf numFmtId="170" fontId="5" fillId="0" borderId="2" xfId="3" applyFont="1" applyBorder="1" applyAlignment="1" applyProtection="1">
      <alignment horizontal="right"/>
    </xf>
    <xf numFmtId="164" fontId="5" fillId="0" borderId="3" xfId="3" applyNumberFormat="1" applyFont="1" applyBorder="1" applyProtection="1"/>
    <xf numFmtId="170" fontId="6" fillId="0" borderId="0" xfId="3" applyFont="1" applyBorder="1" applyAlignment="1" applyProtection="1">
      <alignment horizontal="center"/>
    </xf>
    <xf numFmtId="170" fontId="6" fillId="0" borderId="0" xfId="3" applyFont="1" applyBorder="1" applyAlignment="1" applyProtection="1">
      <alignment horizontal="left"/>
    </xf>
    <xf numFmtId="44" fontId="6" fillId="0" borderId="3" xfId="1" applyNumberFormat="1" applyFont="1" applyBorder="1" applyProtection="1"/>
    <xf numFmtId="170" fontId="0" fillId="0" borderId="0" xfId="0" applyBorder="1"/>
    <xf numFmtId="170" fontId="2" fillId="0" borderId="0" xfId="0" applyFont="1" applyBorder="1" applyAlignment="1">
      <alignment horizontal="centerContinuous"/>
    </xf>
    <xf numFmtId="170" fontId="12" fillId="0" borderId="0" xfId="0" applyNumberFormat="1" applyFont="1" applyBorder="1" applyAlignment="1">
      <alignment horizontal="centerContinuous"/>
    </xf>
    <xf numFmtId="170" fontId="14" fillId="0" borderId="26" xfId="0" applyFont="1" applyBorder="1" applyAlignment="1">
      <alignment horizontal="right"/>
    </xf>
    <xf numFmtId="170" fontId="14" fillId="0" borderId="22" xfId="0" applyFont="1" applyBorder="1" applyAlignment="1">
      <alignment horizontal="right"/>
    </xf>
    <xf numFmtId="170" fontId="14" fillId="0" borderId="25" xfId="0" applyFont="1" applyBorder="1" applyAlignment="1">
      <alignment horizontal="right"/>
    </xf>
    <xf numFmtId="170" fontId="15" fillId="2" borderId="28" xfId="0" applyFont="1" applyFill="1" applyBorder="1" applyAlignment="1">
      <alignment horizontal="right"/>
    </xf>
    <xf numFmtId="170" fontId="14" fillId="0" borderId="0" xfId="0" applyFont="1" applyBorder="1"/>
    <xf numFmtId="170" fontId="15" fillId="0" borderId="0" xfId="0" applyFont="1" applyBorder="1"/>
    <xf numFmtId="170" fontId="0" fillId="2" borderId="21" xfId="0" applyFill="1" applyBorder="1"/>
    <xf numFmtId="170" fontId="0" fillId="2" borderId="23" xfId="0" applyFill="1" applyBorder="1"/>
    <xf numFmtId="170" fontId="14" fillId="0" borderId="15" xfId="0" applyFont="1" applyBorder="1"/>
    <xf numFmtId="170" fontId="10" fillId="0" borderId="12" xfId="0" applyFont="1" applyBorder="1"/>
    <xf numFmtId="170" fontId="10" fillId="0" borderId="20" xfId="0" applyFont="1" applyBorder="1"/>
    <xf numFmtId="170" fontId="10" fillId="0" borderId="19" xfId="0" applyFont="1" applyBorder="1"/>
    <xf numFmtId="170" fontId="14" fillId="0" borderId="3" xfId="0" applyFont="1" applyBorder="1"/>
    <xf numFmtId="170" fontId="0" fillId="2" borderId="24" xfId="0" applyFill="1" applyBorder="1"/>
    <xf numFmtId="170" fontId="15" fillId="2" borderId="16" xfId="0" applyFont="1" applyFill="1" applyBorder="1"/>
    <xf numFmtId="170" fontId="0" fillId="0" borderId="0" xfId="0" applyFill="1" applyBorder="1"/>
    <xf numFmtId="170" fontId="15" fillId="0" borderId="0" xfId="0" applyFont="1" applyFill="1" applyBorder="1"/>
    <xf numFmtId="170" fontId="14" fillId="0" borderId="3" xfId="0" applyFont="1" applyBorder="1" applyAlignment="1">
      <alignment horizontal="left"/>
    </xf>
    <xf numFmtId="170" fontId="16" fillId="0" borderId="0" xfId="0" applyFont="1" applyBorder="1"/>
    <xf numFmtId="170" fontId="15" fillId="0" borderId="3" xfId="0" applyFont="1" applyBorder="1" applyAlignment="1">
      <alignment horizontal="left"/>
    </xf>
    <xf numFmtId="170" fontId="15" fillId="2" borderId="16" xfId="0" applyFont="1" applyFill="1" applyBorder="1" applyAlignment="1">
      <alignment horizontal="left"/>
    </xf>
    <xf numFmtId="170" fontId="15" fillId="0" borderId="0" xfId="0" applyFont="1" applyBorder="1" applyAlignment="1">
      <alignment horizontal="left"/>
    </xf>
    <xf numFmtId="170" fontId="10" fillId="0" borderId="0" xfId="0" applyFont="1" applyBorder="1"/>
    <xf numFmtId="44" fontId="14" fillId="0" borderId="3" xfId="0" applyNumberFormat="1" applyFont="1" applyBorder="1"/>
    <xf numFmtId="44" fontId="15" fillId="2" borderId="16" xfId="0" applyNumberFormat="1" applyFont="1" applyFill="1" applyBorder="1"/>
    <xf numFmtId="170" fontId="14" fillId="0" borderId="3" xfId="0" applyFont="1" applyFill="1" applyBorder="1"/>
    <xf numFmtId="44" fontId="14" fillId="0" borderId="0" xfId="0" applyNumberFormat="1" applyFont="1" applyFill="1" applyBorder="1" applyAlignment="1">
      <alignment horizontal="left"/>
    </xf>
    <xf numFmtId="44" fontId="14" fillId="0" borderId="3" xfId="0" applyNumberFormat="1" applyFont="1" applyFill="1" applyBorder="1" applyAlignment="1"/>
    <xf numFmtId="44" fontId="14" fillId="0" borderId="3" xfId="0" applyNumberFormat="1" applyFont="1" applyFill="1" applyBorder="1" applyAlignment="1">
      <alignment horizontal="left"/>
    </xf>
    <xf numFmtId="44" fontId="15" fillId="2" borderId="16" xfId="0" applyNumberFormat="1" applyFont="1" applyFill="1" applyBorder="1" applyAlignment="1">
      <alignment horizontal="left"/>
    </xf>
    <xf numFmtId="44" fontId="15" fillId="0" borderId="0" xfId="0" applyNumberFormat="1" applyFont="1" applyBorder="1" applyAlignment="1">
      <alignment horizontal="left"/>
    </xf>
    <xf numFmtId="44" fontId="15" fillId="0" borderId="0" xfId="0" applyNumberFormat="1" applyFont="1" applyBorder="1"/>
    <xf numFmtId="44" fontId="7" fillId="0" borderId="30" xfId="0" applyNumberFormat="1" applyFont="1" applyBorder="1"/>
    <xf numFmtId="44" fontId="7" fillId="0" borderId="0" xfId="0" applyNumberFormat="1" applyFont="1" applyBorder="1"/>
    <xf numFmtId="44" fontId="14" fillId="0" borderId="0" xfId="0" applyNumberFormat="1" applyFont="1" applyBorder="1"/>
    <xf numFmtId="44" fontId="7" fillId="0" borderId="0" xfId="0" applyNumberFormat="1" applyFont="1" applyBorder="1" applyAlignment="1">
      <alignment horizontal="center"/>
    </xf>
    <xf numFmtId="170" fontId="6" fillId="8" borderId="3" xfId="3" applyFill="1" applyBorder="1" applyAlignment="1" applyProtection="1">
      <alignment horizontal="center"/>
    </xf>
    <xf numFmtId="170" fontId="6" fillId="7" borderId="3" xfId="3" applyFont="1" applyFill="1" applyBorder="1" applyAlignment="1" applyProtection="1">
      <alignment horizontal="center"/>
      <protection locked="0"/>
    </xf>
    <xf numFmtId="170" fontId="5" fillId="8" borderId="3" xfId="3" applyFont="1" applyFill="1" applyBorder="1" applyAlignment="1" applyProtection="1">
      <alignment horizontal="center" wrapText="1"/>
    </xf>
    <xf numFmtId="170" fontId="6" fillId="8" borderId="15" xfId="3" applyFill="1" applyBorder="1" applyAlignment="1" applyProtection="1">
      <alignment horizontal="center"/>
    </xf>
    <xf numFmtId="44" fontId="9" fillId="0" borderId="3" xfId="1" applyFont="1" applyBorder="1" applyProtection="1"/>
    <xf numFmtId="10" fontId="9" fillId="0" borderId="3" xfId="2" applyNumberFormat="1" applyFont="1" applyBorder="1" applyProtection="1"/>
    <xf numFmtId="171" fontId="6" fillId="7" borderId="3" xfId="1" applyNumberFormat="1" applyFont="1" applyFill="1" applyBorder="1" applyProtection="1"/>
    <xf numFmtId="44" fontId="6" fillId="0" borderId="3" xfId="1" applyFont="1" applyFill="1" applyBorder="1" applyAlignment="1" applyProtection="1">
      <alignment horizontal="center"/>
    </xf>
    <xf numFmtId="166" fontId="9" fillId="0" borderId="3" xfId="2" applyNumberFormat="1" applyFont="1" applyBorder="1" applyProtection="1"/>
    <xf numFmtId="170" fontId="9" fillId="0" borderId="3" xfId="3" applyFont="1" applyBorder="1" applyProtection="1"/>
    <xf numFmtId="164" fontId="9" fillId="0" borderId="3" xfId="1" applyNumberFormat="1" applyFont="1" applyBorder="1" applyProtection="1"/>
    <xf numFmtId="44" fontId="0" fillId="0" borderId="2" xfId="4" applyNumberFormat="1" applyFont="1" applyBorder="1" applyProtection="1"/>
    <xf numFmtId="44" fontId="0" fillId="0" borderId="2" xfId="1" applyNumberFormat="1" applyFont="1" applyBorder="1" applyProtection="1"/>
    <xf numFmtId="164" fontId="5" fillId="0" borderId="2" xfId="3" applyNumberFormat="1" applyFont="1" applyBorder="1" applyProtection="1"/>
    <xf numFmtId="170" fontId="6" fillId="0" borderId="3" xfId="3" applyBorder="1" applyAlignment="1" applyProtection="1">
      <alignment horizontal="right"/>
    </xf>
    <xf numFmtId="170" fontId="6" fillId="0" borderId="9" xfId="3" applyBorder="1" applyAlignment="1" applyProtection="1">
      <alignment horizontal="right"/>
    </xf>
    <xf numFmtId="9" fontId="6" fillId="0" borderId="9" xfId="3" applyNumberFormat="1" applyBorder="1" applyProtection="1"/>
    <xf numFmtId="170" fontId="14" fillId="0" borderId="0" xfId="0" applyFont="1" applyFill="1" applyBorder="1"/>
    <xf numFmtId="170" fontId="5" fillId="8" borderId="3" xfId="3" applyFont="1" applyFill="1" applyBorder="1" applyAlignment="1" applyProtection="1">
      <alignment horizontal="center"/>
    </xf>
    <xf numFmtId="170" fontId="5" fillId="8" borderId="11" xfId="3" applyFont="1" applyFill="1" applyBorder="1" applyAlignment="1" applyProtection="1">
      <alignment horizontal="center"/>
    </xf>
    <xf numFmtId="170" fontId="5" fillId="8" borderId="3" xfId="3" quotePrefix="1" applyFont="1" applyFill="1" applyBorder="1" applyAlignment="1" applyProtection="1">
      <alignment horizontal="center" vertical="center" wrapText="1"/>
    </xf>
    <xf numFmtId="172" fontId="18" fillId="0" borderId="3" xfId="0" applyNumberFormat="1" applyFont="1" applyBorder="1"/>
    <xf numFmtId="172" fontId="19" fillId="0" borderId="3" xfId="0" applyNumberFormat="1" applyFont="1" applyBorder="1"/>
    <xf numFmtId="164" fontId="6" fillId="0" borderId="3" xfId="4" applyNumberFormat="1" applyFill="1" applyBorder="1" applyProtection="1"/>
    <xf numFmtId="10" fontId="6" fillId="0" borderId="3" xfId="2" applyNumberFormat="1" applyFont="1" applyBorder="1" applyProtection="1"/>
    <xf numFmtId="164" fontId="6" fillId="0" borderId="3" xfId="4" applyNumberFormat="1" applyBorder="1" applyProtection="1"/>
    <xf numFmtId="165" fontId="6" fillId="0" borderId="3" xfId="5" applyNumberFormat="1" applyBorder="1" applyProtection="1"/>
    <xf numFmtId="170" fontId="5" fillId="8" borderId="3" xfId="3" applyFont="1" applyFill="1" applyBorder="1" applyAlignment="1" applyProtection="1">
      <alignment horizontal="center" wrapText="1"/>
    </xf>
    <xf numFmtId="170" fontId="6" fillId="8" borderId="3" xfId="3" applyFill="1" applyBorder="1" applyAlignment="1" applyProtection="1">
      <alignment horizontal="center"/>
    </xf>
    <xf numFmtId="170" fontId="6" fillId="8" borderId="6" xfId="3" applyFill="1" applyBorder="1" applyAlignment="1" applyProtection="1">
      <alignment horizontal="center"/>
    </xf>
    <xf numFmtId="44" fontId="6" fillId="0" borderId="3" xfId="4" applyNumberFormat="1" applyBorder="1" applyProtection="1"/>
    <xf numFmtId="171" fontId="6" fillId="0" borderId="3" xfId="4" applyNumberFormat="1" applyBorder="1" applyProtection="1"/>
    <xf numFmtId="9" fontId="6" fillId="0" borderId="3" xfId="2" applyFont="1" applyBorder="1" applyProtection="1"/>
    <xf numFmtId="170" fontId="8" fillId="2" borderId="0" xfId="3" applyFont="1" applyFill="1" applyBorder="1" applyProtection="1"/>
    <xf numFmtId="170" fontId="6" fillId="2" borderId="0" xfId="3" applyFill="1" applyBorder="1" applyProtection="1"/>
    <xf numFmtId="170" fontId="5" fillId="8" borderId="11" xfId="3" quotePrefix="1" applyFont="1" applyFill="1" applyBorder="1" applyAlignment="1" applyProtection="1">
      <alignment horizontal="center" wrapText="1"/>
    </xf>
    <xf numFmtId="164" fontId="9" fillId="0" borderId="3" xfId="1" applyNumberFormat="1" applyFont="1" applyFill="1" applyBorder="1" applyAlignment="1" applyProtection="1">
      <alignment horizontal="center"/>
      <protection locked="0"/>
    </xf>
    <xf numFmtId="164" fontId="9" fillId="0" borderId="6" xfId="1" applyNumberFormat="1" applyFont="1" applyFill="1" applyBorder="1" applyProtection="1"/>
    <xf numFmtId="170" fontId="6" fillId="8" borderId="39" xfId="3" applyFill="1" applyBorder="1" applyAlignment="1" applyProtection="1">
      <alignment horizontal="center"/>
    </xf>
    <xf numFmtId="164" fontId="9" fillId="0" borderId="39" xfId="1" applyNumberFormat="1" applyFont="1" applyFill="1" applyBorder="1" applyProtection="1"/>
    <xf numFmtId="170" fontId="6" fillId="4" borderId="9" xfId="3" applyFill="1" applyBorder="1" applyAlignment="1" applyProtection="1">
      <alignment horizontal="center"/>
    </xf>
    <xf numFmtId="164" fontId="9" fillId="4" borderId="9" xfId="1" applyNumberFormat="1" applyFont="1" applyFill="1" applyBorder="1" applyProtection="1"/>
    <xf numFmtId="9" fontId="0" fillId="7" borderId="3" xfId="0" applyNumberFormat="1" applyFill="1" applyBorder="1" applyProtection="1">
      <protection locked="0"/>
    </xf>
    <xf numFmtId="166" fontId="0" fillId="7" borderId="3" xfId="0" applyNumberFormat="1" applyFill="1" applyBorder="1" applyProtection="1">
      <protection locked="0"/>
    </xf>
    <xf numFmtId="164" fontId="0" fillId="7" borderId="3" xfId="1" applyNumberFormat="1" applyFont="1" applyFill="1" applyBorder="1" applyProtection="1">
      <protection locked="0"/>
    </xf>
    <xf numFmtId="170" fontId="6" fillId="8" borderId="3" xfId="3" applyFont="1" applyFill="1" applyBorder="1" applyAlignment="1" applyProtection="1">
      <alignment horizontal="center" wrapText="1"/>
    </xf>
    <xf numFmtId="170" fontId="5" fillId="8" borderId="26" xfId="3" applyFont="1" applyFill="1" applyBorder="1" applyAlignment="1" applyProtection="1">
      <alignment horizontal="center" wrapText="1"/>
    </xf>
    <xf numFmtId="170" fontId="5" fillId="8" borderId="40" xfId="3" quotePrefix="1" applyFont="1" applyFill="1" applyBorder="1" applyAlignment="1" applyProtection="1">
      <alignment horizontal="center" vertical="center" wrapText="1"/>
    </xf>
    <xf numFmtId="170" fontId="5" fillId="8" borderId="41" xfId="3" quotePrefix="1" applyFont="1" applyFill="1" applyBorder="1" applyAlignment="1" applyProtection="1">
      <alignment horizontal="center" vertical="center" wrapText="1"/>
    </xf>
    <xf numFmtId="170" fontId="6" fillId="8" borderId="22" xfId="3" applyFill="1" applyBorder="1" applyAlignment="1" applyProtection="1">
      <alignment horizontal="center"/>
    </xf>
    <xf numFmtId="172" fontId="18" fillId="0" borderId="42" xfId="0" applyNumberFormat="1" applyFont="1" applyBorder="1"/>
    <xf numFmtId="170" fontId="5" fillId="8" borderId="25" xfId="3" applyFont="1" applyFill="1" applyBorder="1" applyAlignment="1" applyProtection="1">
      <alignment horizontal="center"/>
    </xf>
    <xf numFmtId="172" fontId="19" fillId="0" borderId="6" xfId="0" applyNumberFormat="1" applyFont="1" applyBorder="1"/>
    <xf numFmtId="172" fontId="19" fillId="0" borderId="43" xfId="0" applyNumberFormat="1" applyFont="1" applyBorder="1"/>
    <xf numFmtId="174" fontId="0" fillId="7" borderId="3" xfId="1" applyNumberFormat="1" applyFont="1" applyFill="1" applyBorder="1" applyProtection="1">
      <protection locked="0"/>
    </xf>
    <xf numFmtId="10" fontId="6" fillId="0" borderId="0" xfId="3" applyNumberFormat="1" applyProtection="1"/>
    <xf numFmtId="44" fontId="6" fillId="0" borderId="3" xfId="3" applyNumberFormat="1" applyBorder="1" applyProtection="1"/>
    <xf numFmtId="170" fontId="5" fillId="0" borderId="0" xfId="3" applyFont="1" applyBorder="1" applyAlignment="1" applyProtection="1">
      <alignment horizontal="right"/>
    </xf>
    <xf numFmtId="164" fontId="5" fillId="0" borderId="0" xfId="3" applyNumberFormat="1" applyFont="1" applyBorder="1" applyProtection="1"/>
    <xf numFmtId="170" fontId="6" fillId="8" borderId="3" xfId="3" applyFill="1" applyBorder="1" applyAlignment="1" applyProtection="1">
      <alignment horizontal="center" wrapText="1"/>
    </xf>
    <xf numFmtId="14" fontId="6" fillId="8" borderId="3" xfId="3" applyNumberFormat="1" applyFont="1" applyFill="1" applyBorder="1" applyAlignment="1" applyProtection="1">
      <alignment horizontal="center" wrapText="1"/>
    </xf>
    <xf numFmtId="175" fontId="6" fillId="8" borderId="3" xfId="3" applyNumberFormat="1" applyFont="1" applyFill="1" applyBorder="1" applyAlignment="1" applyProtection="1">
      <alignment horizontal="center" wrapText="1"/>
    </xf>
    <xf numFmtId="170" fontId="6" fillId="8" borderId="3" xfId="3" applyFont="1" applyFill="1" applyBorder="1" applyAlignment="1" applyProtection="1">
      <alignment horizontal="center"/>
    </xf>
    <xf numFmtId="170" fontId="6" fillId="0" borderId="0" xfId="3" applyAlignment="1" applyProtection="1">
      <alignment horizontal="left" wrapText="1"/>
    </xf>
    <xf numFmtId="170" fontId="5" fillId="8" borderId="3" xfId="3" quotePrefix="1" applyFont="1" applyFill="1" applyBorder="1" applyAlignment="1" applyProtection="1">
      <alignment horizontal="center" wrapText="1"/>
    </xf>
    <xf numFmtId="170" fontId="5" fillId="8" borderId="3" xfId="3" applyFont="1" applyFill="1" applyBorder="1" applyAlignment="1" applyProtection="1">
      <alignment horizontal="center" wrapText="1"/>
    </xf>
    <xf numFmtId="170" fontId="6" fillId="8" borderId="3" xfId="3" applyFill="1" applyBorder="1" applyAlignment="1" applyProtection="1">
      <alignment horizontal="center"/>
    </xf>
    <xf numFmtId="170" fontId="6" fillId="8" borderId="6" xfId="3" applyFill="1" applyBorder="1" applyAlignment="1" applyProtection="1">
      <alignment horizontal="center"/>
    </xf>
    <xf numFmtId="170" fontId="6" fillId="8" borderId="9" xfId="3" applyFill="1" applyBorder="1" applyAlignment="1" applyProtection="1">
      <alignment horizontal="center"/>
    </xf>
    <xf numFmtId="164" fontId="9" fillId="0" borderId="3" xfId="1" applyNumberFormat="1" applyFont="1" applyFill="1" applyBorder="1" applyAlignment="1" applyProtection="1">
      <alignment horizontal="center"/>
    </xf>
    <xf numFmtId="170" fontId="0" fillId="0" borderId="0" xfId="0" applyProtection="1"/>
    <xf numFmtId="170" fontId="0" fillId="0" borderId="3" xfId="0" applyBorder="1" applyProtection="1"/>
    <xf numFmtId="164" fontId="0" fillId="0" borderId="3" xfId="0" applyNumberFormat="1" applyBorder="1" applyProtection="1"/>
    <xf numFmtId="164" fontId="0" fillId="0" borderId="0" xfId="0" applyNumberFormat="1" applyProtection="1"/>
    <xf numFmtId="10" fontId="36" fillId="0" borderId="0" xfId="2" applyNumberFormat="1" applyFont="1" applyProtection="1"/>
    <xf numFmtId="9" fontId="0" fillId="0" borderId="0" xfId="2" applyFont="1" applyProtection="1"/>
    <xf numFmtId="164" fontId="0" fillId="0" borderId="0" xfId="1" applyNumberFormat="1" applyFont="1" applyProtection="1"/>
    <xf numFmtId="173" fontId="0" fillId="0" borderId="0" xfId="0" applyNumberFormat="1" applyProtection="1"/>
    <xf numFmtId="8" fontId="0" fillId="0" borderId="3" xfId="0" applyNumberFormat="1" applyBorder="1" applyProtection="1"/>
    <xf numFmtId="8" fontId="18" fillId="0" borderId="3" xfId="0" applyNumberFormat="1" applyFont="1" applyBorder="1" applyProtection="1"/>
    <xf numFmtId="8" fontId="0" fillId="0" borderId="0" xfId="0" applyNumberFormat="1" applyProtection="1"/>
    <xf numFmtId="164" fontId="17" fillId="0" borderId="3" xfId="1" applyNumberFormat="1" applyFont="1" applyBorder="1" applyProtection="1"/>
    <xf numFmtId="164" fontId="0" fillId="0" borderId="0" xfId="1" applyNumberFormat="1" applyFont="1" applyBorder="1" applyProtection="1"/>
    <xf numFmtId="44" fontId="0" fillId="0" borderId="3" xfId="0" applyNumberFormat="1" applyBorder="1" applyProtection="1"/>
    <xf numFmtId="164" fontId="0" fillId="0" borderId="3" xfId="1" applyNumberFormat="1" applyFont="1" applyFill="1" applyBorder="1" applyProtection="1"/>
    <xf numFmtId="168" fontId="6" fillId="0" borderId="3" xfId="10" applyNumberFormat="1" applyFont="1" applyFill="1" applyBorder="1" applyAlignment="1" applyProtection="1">
      <alignment horizontal="center"/>
    </xf>
    <xf numFmtId="170" fontId="14" fillId="0" borderId="3" xfId="0" applyFont="1" applyFill="1" applyBorder="1" applyProtection="1"/>
    <xf numFmtId="44" fontId="14" fillId="0" borderId="3" xfId="0" applyNumberFormat="1" applyFont="1" applyFill="1" applyBorder="1" applyAlignment="1" applyProtection="1"/>
    <xf numFmtId="44" fontId="14" fillId="0" borderId="3" xfId="0" applyNumberFormat="1" applyFont="1" applyFill="1" applyBorder="1" applyAlignment="1" applyProtection="1">
      <alignment horizontal="left"/>
    </xf>
    <xf numFmtId="170" fontId="6" fillId="7" borderId="3" xfId="3" applyFill="1" applyBorder="1" applyAlignment="1" applyProtection="1">
      <alignment horizontal="center" wrapText="1"/>
      <protection locked="0"/>
    </xf>
    <xf numFmtId="6" fontId="18" fillId="0" borderId="3" xfId="0" applyNumberFormat="1" applyFont="1" applyBorder="1" applyProtection="1"/>
    <xf numFmtId="6" fontId="19" fillId="0" borderId="3" xfId="0" applyNumberFormat="1" applyFont="1" applyBorder="1" applyProtection="1"/>
    <xf numFmtId="18" fontId="0" fillId="7" borderId="3" xfId="0" applyNumberFormat="1" applyFill="1" applyBorder="1" applyProtection="1">
      <protection locked="0"/>
    </xf>
    <xf numFmtId="8" fontId="0" fillId="7" borderId="3" xfId="0" applyNumberFormat="1" applyFill="1" applyBorder="1" applyProtection="1">
      <protection locked="0"/>
    </xf>
    <xf numFmtId="170" fontId="17" fillId="0" borderId="0" xfId="0" applyFont="1" applyProtection="1"/>
    <xf numFmtId="164" fontId="6" fillId="7" borderId="3" xfId="4" applyNumberFormat="1" applyFill="1" applyBorder="1" applyProtection="1">
      <protection locked="0"/>
    </xf>
    <xf numFmtId="170" fontId="37" fillId="0" borderId="0" xfId="3" applyFont="1" applyProtection="1"/>
    <xf numFmtId="167" fontId="5" fillId="8" borderId="3" xfId="3" applyNumberFormat="1" applyFont="1" applyFill="1" applyBorder="1" applyAlignment="1" applyProtection="1">
      <alignment horizontal="center"/>
    </xf>
    <xf numFmtId="170" fontId="38" fillId="0" borderId="3" xfId="3" applyFont="1" applyBorder="1" applyAlignment="1" applyProtection="1">
      <alignment horizontal="center"/>
    </xf>
    <xf numFmtId="167" fontId="38" fillId="0" borderId="3" xfId="3" applyNumberFormat="1" applyFont="1" applyBorder="1" applyAlignment="1" applyProtection="1">
      <alignment horizontal="center"/>
    </xf>
    <xf numFmtId="167" fontId="6" fillId="0" borderId="40" xfId="3" applyNumberFormat="1" applyBorder="1" applyAlignment="1" applyProtection="1">
      <alignment horizontal="center"/>
    </xf>
    <xf numFmtId="167" fontId="6" fillId="0" borderId="41" xfId="3" applyNumberFormat="1" applyBorder="1" applyAlignment="1" applyProtection="1">
      <alignment horizontal="center"/>
    </xf>
    <xf numFmtId="167" fontId="6" fillId="0" borderId="3" xfId="3" applyNumberFormat="1" applyBorder="1" applyAlignment="1" applyProtection="1">
      <alignment horizontal="center"/>
    </xf>
    <xf numFmtId="167" fontId="6" fillId="0" borderId="42" xfId="3" applyNumberFormat="1" applyBorder="1" applyAlignment="1" applyProtection="1">
      <alignment horizontal="center"/>
    </xf>
    <xf numFmtId="167" fontId="6" fillId="0" borderId="6" xfId="3" applyNumberFormat="1" applyBorder="1" applyAlignment="1" applyProtection="1">
      <alignment horizontal="center"/>
    </xf>
    <xf numFmtId="167" fontId="6" fillId="0" borderId="43" xfId="3" applyNumberFormat="1" applyBorder="1" applyAlignment="1" applyProtection="1">
      <alignment horizontal="center"/>
    </xf>
    <xf numFmtId="167" fontId="6" fillId="0" borderId="0" xfId="3" applyNumberFormat="1" applyAlignment="1" applyProtection="1">
      <alignment horizontal="center"/>
    </xf>
    <xf numFmtId="167" fontId="7" fillId="24" borderId="45" xfId="3" applyNumberFormat="1" applyFont="1" applyFill="1" applyBorder="1" applyAlignment="1" applyProtection="1">
      <alignment horizontal="center"/>
    </xf>
    <xf numFmtId="167" fontId="7" fillId="24" borderId="46" xfId="3" applyNumberFormat="1" applyFont="1" applyFill="1" applyBorder="1" applyAlignment="1" applyProtection="1">
      <alignment horizontal="center"/>
    </xf>
    <xf numFmtId="171" fontId="6" fillId="7" borderId="3" xfId="1" applyNumberFormat="1" applyFont="1" applyFill="1" applyBorder="1" applyProtection="1">
      <protection locked="0"/>
    </xf>
    <xf numFmtId="0" fontId="6" fillId="7" borderId="3" xfId="3" applyNumberFormat="1" applyFont="1" applyFill="1" applyBorder="1" applyAlignment="1" applyProtection="1">
      <alignment horizontal="center"/>
      <protection locked="0"/>
    </xf>
    <xf numFmtId="0" fontId="6" fillId="8" borderId="3" xfId="3" applyNumberFormat="1" applyFill="1" applyBorder="1" applyAlignment="1" applyProtection="1">
      <alignment horizontal="center"/>
    </xf>
    <xf numFmtId="0" fontId="5" fillId="8" borderId="3" xfId="3" applyNumberFormat="1" applyFont="1" applyFill="1" applyBorder="1" applyAlignment="1" applyProtection="1">
      <alignment horizontal="center" wrapText="1"/>
    </xf>
    <xf numFmtId="0" fontId="6" fillId="7" borderId="3" xfId="3" applyNumberFormat="1" applyFill="1" applyBorder="1" applyAlignment="1" applyProtection="1">
      <alignment horizontal="center"/>
      <protection locked="0"/>
    </xf>
    <xf numFmtId="0" fontId="6" fillId="0" borderId="3" xfId="3" applyNumberFormat="1" applyFont="1" applyBorder="1" applyAlignment="1" applyProtection="1">
      <alignment horizontal="center"/>
    </xf>
    <xf numFmtId="0" fontId="6" fillId="0" borderId="0" xfId="3" applyNumberFormat="1" applyFont="1" applyBorder="1" applyAlignment="1" applyProtection="1">
      <alignment horizontal="center"/>
    </xf>
    <xf numFmtId="0" fontId="6" fillId="0" borderId="3" xfId="3" applyNumberFormat="1" applyFont="1" applyFill="1" applyBorder="1" applyAlignment="1" applyProtection="1">
      <alignment horizontal="center"/>
    </xf>
    <xf numFmtId="0" fontId="6" fillId="7" borderId="6" xfId="3" applyNumberFormat="1" applyFont="1" applyFill="1" applyBorder="1" applyAlignment="1" applyProtection="1">
      <alignment horizontal="center"/>
      <protection locked="0"/>
    </xf>
    <xf numFmtId="0" fontId="6" fillId="0" borderId="9" xfId="3" applyNumberFormat="1" applyFont="1" applyFill="1" applyBorder="1" applyAlignment="1" applyProtection="1">
      <alignment horizontal="center"/>
    </xf>
    <xf numFmtId="0" fontId="6" fillId="7" borderId="3" xfId="1" applyNumberFormat="1" applyFont="1" applyFill="1" applyBorder="1" applyAlignment="1" applyProtection="1">
      <alignment horizontal="center"/>
      <protection locked="0"/>
    </xf>
    <xf numFmtId="0" fontId="6" fillId="0" borderId="0" xfId="3" applyNumberFormat="1" applyProtection="1"/>
    <xf numFmtId="9" fontId="6" fillId="0" borderId="0" xfId="2" applyFont="1" applyProtection="1"/>
    <xf numFmtId="0" fontId="40" fillId="0" borderId="0" xfId="3" applyNumberFormat="1" applyFont="1" applyProtection="1"/>
    <xf numFmtId="43" fontId="0" fillId="0" borderId="7" xfId="10" applyFont="1" applyBorder="1" applyAlignment="1">
      <alignment horizontal="center"/>
    </xf>
    <xf numFmtId="43" fontId="0" fillId="0" borderId="8" xfId="10" applyFont="1" applyBorder="1"/>
    <xf numFmtId="43" fontId="0" fillId="0" borderId="9" xfId="10" applyFont="1" applyBorder="1"/>
    <xf numFmtId="43" fontId="0" fillId="0" borderId="0" xfId="10" applyFont="1"/>
    <xf numFmtId="43" fontId="0" fillId="0" borderId="3" xfId="10" applyFont="1" applyBorder="1"/>
    <xf numFmtId="43" fontId="0" fillId="0" borderId="10" xfId="10" applyFont="1" applyBorder="1" applyAlignment="1">
      <alignment horizontal="center"/>
    </xf>
    <xf numFmtId="0" fontId="0" fillId="0" borderId="3" xfId="0" applyNumberFormat="1" applyFill="1" applyBorder="1"/>
    <xf numFmtId="0" fontId="0" fillId="0" borderId="3" xfId="0" applyNumberFormat="1" applyFill="1" applyBorder="1" applyAlignment="1">
      <alignment horizontal="center"/>
    </xf>
    <xf numFmtId="0" fontId="0" fillId="0" borderId="3" xfId="0" applyNumberFormat="1" applyFill="1" applyBorder="1" applyAlignment="1"/>
    <xf numFmtId="0" fontId="0" fillId="0" borderId="0" xfId="0" applyNumberFormat="1"/>
    <xf numFmtId="0" fontId="0" fillId="7" borderId="3" xfId="0" applyNumberFormat="1" applyFill="1" applyBorder="1" applyProtection="1">
      <protection locked="0"/>
    </xf>
    <xf numFmtId="0" fontId="0" fillId="0" borderId="0" xfId="0" applyNumberFormat="1" applyProtection="1"/>
    <xf numFmtId="170" fontId="41" fillId="0" borderId="0" xfId="0" applyFont="1" applyProtection="1"/>
    <xf numFmtId="0" fontId="41" fillId="0" borderId="0" xfId="0" applyNumberFormat="1" applyFont="1" applyProtection="1"/>
    <xf numFmtId="0" fontId="5" fillId="0" borderId="0" xfId="3" applyNumberFormat="1" applyFont="1" applyProtection="1"/>
    <xf numFmtId="0" fontId="9" fillId="0" borderId="3" xfId="3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center"/>
    </xf>
    <xf numFmtId="0" fontId="18" fillId="0" borderId="3" xfId="0" applyNumberFormat="1" applyFont="1" applyBorder="1" applyAlignment="1" applyProtection="1">
      <alignment horizontal="center"/>
    </xf>
    <xf numFmtId="0" fontId="18" fillId="0" borderId="3" xfId="0" applyNumberFormat="1" applyFont="1" applyBorder="1" applyProtection="1"/>
    <xf numFmtId="0" fontId="0" fillId="0" borderId="3" xfId="0" applyNumberFormat="1" applyBorder="1" applyProtection="1"/>
    <xf numFmtId="0" fontId="18" fillId="0" borderId="6" xfId="0" applyNumberFormat="1" applyFont="1" applyBorder="1" applyProtection="1"/>
    <xf numFmtId="0" fontId="18" fillId="0" borderId="9" xfId="0" applyNumberFormat="1" applyFont="1" applyBorder="1" applyProtection="1"/>
    <xf numFmtId="0" fontId="0" fillId="0" borderId="9" xfId="0" applyNumberFormat="1" applyBorder="1" applyProtection="1"/>
    <xf numFmtId="0" fontId="0" fillId="0" borderId="6" xfId="0" applyNumberFormat="1" applyBorder="1" applyProtection="1"/>
    <xf numFmtId="0" fontId="12" fillId="0" borderId="0" xfId="0" applyNumberFormat="1" applyFont="1" applyBorder="1" applyAlignment="1">
      <alignment horizontal="centerContinuous"/>
    </xf>
    <xf numFmtId="0" fontId="2" fillId="0" borderId="0" xfId="0" applyNumberFormat="1" applyFont="1" applyBorder="1" applyAlignment="1">
      <alignment horizontal="centerContinuous"/>
    </xf>
    <xf numFmtId="0" fontId="0" fillId="0" borderId="0" xfId="0" applyNumberFormat="1" applyBorder="1"/>
    <xf numFmtId="0" fontId="14" fillId="0" borderId="0" xfId="0" applyNumberFormat="1" applyFont="1" applyBorder="1"/>
    <xf numFmtId="0" fontId="15" fillId="0" borderId="0" xfId="0" applyNumberFormat="1" applyFont="1" applyBorder="1"/>
    <xf numFmtId="0" fontId="14" fillId="0" borderId="15" xfId="0" applyNumberFormat="1" applyFont="1" applyBorder="1"/>
    <xf numFmtId="0" fontId="14" fillId="0" borderId="3" xfId="0" applyNumberFormat="1" applyFont="1" applyBorder="1"/>
    <xf numFmtId="0" fontId="14" fillId="0" borderId="11" xfId="0" applyNumberFormat="1" applyFont="1" applyBorder="1"/>
    <xf numFmtId="0" fontId="15" fillId="2" borderId="16" xfId="0" applyNumberFormat="1" applyFont="1" applyFill="1" applyBorder="1"/>
    <xf numFmtId="0" fontId="15" fillId="0" borderId="0" xfId="0" applyNumberFormat="1" applyFont="1" applyFill="1" applyBorder="1"/>
    <xf numFmtId="0" fontId="14" fillId="0" borderId="3" xfId="0" applyNumberFormat="1" applyFont="1" applyBorder="1" applyAlignment="1">
      <alignment horizontal="right"/>
    </xf>
    <xf numFmtId="0" fontId="14" fillId="2" borderId="16" xfId="0" applyNumberFormat="1" applyFont="1" applyFill="1" applyBorder="1"/>
    <xf numFmtId="0" fontId="14" fillId="2" borderId="16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>
      <alignment horizontal="right"/>
    </xf>
    <xf numFmtId="0" fontId="15" fillId="2" borderId="16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4" fillId="0" borderId="3" xfId="0" applyNumberFormat="1" applyFont="1" applyFill="1" applyBorder="1"/>
    <xf numFmtId="0" fontId="14" fillId="0" borderId="3" xfId="0" applyNumberFormat="1" applyFont="1" applyFill="1" applyBorder="1" applyAlignment="1">
      <alignment horizontal="right"/>
    </xf>
    <xf numFmtId="0" fontId="14" fillId="0" borderId="0" xfId="0" applyNumberFormat="1" applyFont="1" applyBorder="1" applyAlignment="1">
      <alignment horizontal="right"/>
    </xf>
    <xf numFmtId="170" fontId="42" fillId="0" borderId="0" xfId="3" applyFont="1" applyAlignment="1" applyProtection="1">
      <alignment horizontal="centerContinuous"/>
    </xf>
    <xf numFmtId="170" fontId="43" fillId="25" borderId="0" xfId="3" applyFont="1" applyFill="1" applyAlignment="1" applyProtection="1">
      <alignment horizontal="centerContinuous"/>
    </xf>
    <xf numFmtId="170" fontId="44" fillId="25" borderId="0" xfId="0" applyFont="1" applyFill="1" applyAlignment="1">
      <alignment horizontal="centerContinuous"/>
    </xf>
    <xf numFmtId="44" fontId="6" fillId="0" borderId="3" xfId="1" applyFont="1" applyBorder="1" applyProtection="1"/>
    <xf numFmtId="170" fontId="6" fillId="0" borderId="3" xfId="3" applyBorder="1" applyProtection="1"/>
    <xf numFmtId="10" fontId="6" fillId="0" borderId="9" xfId="3" applyNumberFormat="1" applyBorder="1" applyProtection="1"/>
    <xf numFmtId="170" fontId="6" fillId="0" borderId="9" xfId="3" applyBorder="1" applyProtection="1"/>
    <xf numFmtId="170" fontId="8" fillId="0" borderId="47" xfId="3" applyFont="1" applyBorder="1" applyProtection="1"/>
    <xf numFmtId="170" fontId="6" fillId="0" borderId="47" xfId="3" applyBorder="1" applyProtection="1"/>
    <xf numFmtId="2" fontId="36" fillId="0" borderId="0" xfId="0" applyNumberFormat="1" applyFont="1" applyProtection="1"/>
    <xf numFmtId="170" fontId="12" fillId="26" borderId="0" xfId="0" applyNumberFormat="1" applyFont="1" applyFill="1" applyBorder="1" applyAlignment="1">
      <alignment horizontal="centerContinuous"/>
    </xf>
    <xf numFmtId="42" fontId="43" fillId="25" borderId="0" xfId="3" applyNumberFormat="1" applyFont="1" applyFill="1" applyAlignment="1" applyProtection="1">
      <alignment horizontal="centerContinuous"/>
    </xf>
    <xf numFmtId="42" fontId="0" fillId="0" borderId="0" xfId="0" applyNumberFormat="1" applyBorder="1"/>
    <xf numFmtId="42" fontId="0" fillId="0" borderId="0" xfId="0" applyNumberFormat="1"/>
    <xf numFmtId="42" fontId="13" fillId="26" borderId="0" xfId="0" applyNumberFormat="1" applyFont="1" applyFill="1" applyBorder="1" applyAlignment="1">
      <alignment horizontal="right"/>
    </xf>
    <xf numFmtId="42" fontId="5" fillId="8" borderId="3" xfId="3" quotePrefix="1" applyNumberFormat="1" applyFont="1" applyFill="1" applyBorder="1" applyAlignment="1" applyProtection="1">
      <alignment horizontal="center" wrapText="1"/>
    </xf>
    <xf numFmtId="42" fontId="0" fillId="0" borderId="3" xfId="4" applyNumberFormat="1" applyFont="1" applyBorder="1"/>
    <xf numFmtId="42" fontId="0" fillId="0" borderId="3" xfId="0" applyNumberFormat="1" applyBorder="1"/>
    <xf numFmtId="42" fontId="0" fillId="0" borderId="6" xfId="0" applyNumberFormat="1" applyBorder="1"/>
    <xf numFmtId="42" fontId="6" fillId="2" borderId="29" xfId="4" applyNumberFormat="1" applyFill="1" applyBorder="1" applyAlignment="1">
      <alignment shrinkToFit="1"/>
    </xf>
    <xf numFmtId="42" fontId="5" fillId="2" borderId="3" xfId="4" applyNumberFormat="1" applyFont="1" applyFill="1" applyBorder="1"/>
    <xf numFmtId="42" fontId="0" fillId="0" borderId="3" xfId="1" applyNumberFormat="1" applyFont="1" applyBorder="1"/>
    <xf numFmtId="42" fontId="39" fillId="0" borderId="3" xfId="4" applyNumberFormat="1" applyFont="1" applyFill="1" applyBorder="1"/>
    <xf numFmtId="42" fontId="5" fillId="0" borderId="3" xfId="4" applyNumberFormat="1" applyFont="1" applyBorder="1" applyAlignment="1">
      <alignment shrinkToFit="1"/>
    </xf>
    <xf numFmtId="42" fontId="5" fillId="0" borderId="3" xfId="0" applyNumberFormat="1" applyFont="1" applyBorder="1" applyAlignment="1">
      <alignment shrinkToFit="1"/>
    </xf>
    <xf numFmtId="42" fontId="0" fillId="0" borderId="3" xfId="4" applyNumberFormat="1" applyFont="1" applyFill="1" applyBorder="1"/>
    <xf numFmtId="42" fontId="0" fillId="0" borderId="0" xfId="1" applyNumberFormat="1" applyFont="1"/>
    <xf numFmtId="42" fontId="3" fillId="2" borderId="11" xfId="0" quotePrefix="1" applyNumberFormat="1" applyFont="1" applyFill="1" applyBorder="1" applyAlignment="1">
      <alignment wrapText="1"/>
    </xf>
    <xf numFmtId="42" fontId="3" fillId="3" borderId="3" xfId="1" applyNumberFormat="1" applyFont="1" applyFill="1" applyBorder="1" applyAlignment="1">
      <alignment wrapText="1"/>
    </xf>
    <xf numFmtId="170" fontId="4" fillId="0" borderId="0" xfId="0" applyFont="1" applyFill="1" applyAlignment="1">
      <alignment horizontal="right"/>
    </xf>
    <xf numFmtId="44" fontId="0" fillId="0" borderId="0" xfId="1" applyFont="1"/>
    <xf numFmtId="44" fontId="0" fillId="0" borderId="3" xfId="1" applyFont="1" applyBorder="1"/>
    <xf numFmtId="44" fontId="45" fillId="0" borderId="0" xfId="1" applyFont="1"/>
    <xf numFmtId="170" fontId="0" fillId="0" borderId="3" xfId="0" applyBorder="1"/>
    <xf numFmtId="44" fontId="45" fillId="0" borderId="3" xfId="1" applyFont="1" applyBorder="1"/>
    <xf numFmtId="170" fontId="45" fillId="0" borderId="3" xfId="0" applyFont="1" applyBorder="1"/>
    <xf numFmtId="44" fontId="46" fillId="0" borderId="0" xfId="1" applyFont="1" applyAlignment="1">
      <alignment horizontal="centerContinuous"/>
    </xf>
    <xf numFmtId="44" fontId="17" fillId="8" borderId="3" xfId="1" applyFont="1" applyFill="1" applyBorder="1" applyAlignment="1">
      <alignment horizontal="center" wrapText="1"/>
    </xf>
    <xf numFmtId="170" fontId="17" fillId="8" borderId="3" xfId="0" applyFont="1" applyFill="1" applyBorder="1" applyAlignment="1">
      <alignment horizontal="center"/>
    </xf>
    <xf numFmtId="44" fontId="17" fillId="8" borderId="3" xfId="1" applyFont="1" applyFill="1" applyBorder="1" applyAlignment="1">
      <alignment horizontal="center"/>
    </xf>
    <xf numFmtId="170" fontId="0" fillId="25" borderId="0" xfId="0" applyFill="1" applyAlignment="1">
      <alignment horizontal="centerContinuous"/>
    </xf>
    <xf numFmtId="164" fontId="0" fillId="0" borderId="0" xfId="1" applyNumberFormat="1" applyFont="1"/>
    <xf numFmtId="164" fontId="45" fillId="0" borderId="9" xfId="1" applyNumberFormat="1" applyFont="1" applyBorder="1"/>
    <xf numFmtId="164" fontId="0" fillId="0" borderId="3" xfId="1" applyNumberFormat="1" applyFont="1" applyBorder="1"/>
    <xf numFmtId="164" fontId="45" fillId="0" borderId="3" xfId="1" applyNumberFormat="1" applyFont="1" applyBorder="1"/>
    <xf numFmtId="164" fontId="45" fillId="0" borderId="3" xfId="0" applyNumberFormat="1" applyFont="1" applyBorder="1"/>
    <xf numFmtId="164" fontId="0" fillId="0" borderId="0" xfId="1" applyNumberFormat="1" applyFont="1" applyBorder="1"/>
    <xf numFmtId="164" fontId="0" fillId="0" borderId="48" xfId="1" applyNumberFormat="1" applyFont="1" applyBorder="1"/>
    <xf numFmtId="164" fontId="0" fillId="0" borderId="0" xfId="0" applyNumberFormat="1" applyBorder="1"/>
    <xf numFmtId="44" fontId="0" fillId="0" borderId="0" xfId="1" applyFont="1" applyBorder="1"/>
    <xf numFmtId="44" fontId="0" fillId="0" borderId="48" xfId="1" applyFont="1" applyBorder="1"/>
    <xf numFmtId="0" fontId="47" fillId="0" borderId="0" xfId="51"/>
    <xf numFmtId="164" fontId="0" fillId="0" borderId="0" xfId="1" applyNumberFormat="1" applyFont="1" applyAlignment="1">
      <alignment wrapText="1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 wrapText="1"/>
    </xf>
    <xf numFmtId="0" fontId="6" fillId="0" borderId="3" xfId="51" applyFont="1" applyBorder="1"/>
    <xf numFmtId="0" fontId="0" fillId="0" borderId="3" xfId="1" applyNumberFormat="1" applyFont="1" applyBorder="1" applyAlignment="1">
      <alignment horizontal="center"/>
    </xf>
    <xf numFmtId="0" fontId="47" fillId="0" borderId="3" xfId="51" applyFill="1" applyBorder="1"/>
    <xf numFmtId="0" fontId="6" fillId="0" borderId="3" xfId="51" applyFont="1" applyFill="1" applyBorder="1"/>
    <xf numFmtId="0" fontId="6" fillId="0" borderId="0" xfId="51" applyFont="1" applyFill="1" applyBorder="1"/>
    <xf numFmtId="164" fontId="0" fillId="25" borderId="0" xfId="1" applyNumberFormat="1" applyFont="1" applyFill="1"/>
    <xf numFmtId="164" fontId="17" fillId="25" borderId="0" xfId="1" applyNumberFormat="1" applyFont="1" applyFill="1"/>
    <xf numFmtId="164" fontId="17" fillId="0" borderId="0" xfId="1" applyNumberFormat="1" applyFont="1"/>
    <xf numFmtId="0" fontId="0" fillId="0" borderId="0" xfId="1" applyNumberFormat="1" applyFont="1" applyBorder="1" applyAlignment="1">
      <alignment horizontal="center"/>
    </xf>
    <xf numFmtId="1" fontId="6" fillId="7" borderId="3" xfId="1" quotePrefix="1" applyNumberFormat="1" applyFont="1" applyFill="1" applyBorder="1" applyAlignment="1" applyProtection="1">
      <alignment horizontal="center"/>
      <protection locked="0"/>
    </xf>
    <xf numFmtId="44" fontId="6" fillId="7" borderId="3" xfId="1" quotePrefix="1" applyFont="1" applyFill="1" applyBorder="1" applyAlignment="1" applyProtection="1">
      <alignment horizontal="center"/>
      <protection locked="0"/>
    </xf>
    <xf numFmtId="44" fontId="6" fillId="26" borderId="3" xfId="1" applyFont="1" applyFill="1" applyBorder="1" applyAlignment="1" applyProtection="1">
      <alignment horizontal="center"/>
    </xf>
    <xf numFmtId="164" fontId="0" fillId="7" borderId="3" xfId="1" applyNumberFormat="1" applyFont="1" applyFill="1" applyBorder="1"/>
    <xf numFmtId="164" fontId="0" fillId="7" borderId="0" xfId="1" applyNumberFormat="1" applyFont="1" applyFill="1"/>
    <xf numFmtId="164" fontId="0" fillId="7" borderId="0" xfId="1" applyNumberFormat="1" applyFont="1" applyFill="1" applyBorder="1"/>
    <xf numFmtId="170" fontId="0" fillId="0" borderId="9" xfId="0" applyBorder="1"/>
    <xf numFmtId="164" fontId="0" fillId="0" borderId="9" xfId="1" applyNumberFormat="1" applyFont="1" applyBorder="1"/>
    <xf numFmtId="0" fontId="0" fillId="0" borderId="9" xfId="1" applyNumberFormat="1" applyFont="1" applyBorder="1" applyAlignment="1">
      <alignment horizontal="center"/>
    </xf>
    <xf numFmtId="170" fontId="48" fillId="4" borderId="16" xfId="0" applyFont="1" applyFill="1" applyBorder="1"/>
    <xf numFmtId="164" fontId="48" fillId="4" borderId="16" xfId="1" applyNumberFormat="1" applyFont="1" applyFill="1" applyBorder="1"/>
    <xf numFmtId="164" fontId="48" fillId="25" borderId="16" xfId="1" applyNumberFormat="1" applyFont="1" applyFill="1" applyBorder="1"/>
    <xf numFmtId="0" fontId="48" fillId="4" borderId="16" xfId="1" applyNumberFormat="1" applyFont="1" applyFill="1" applyBorder="1" applyAlignment="1">
      <alignment horizontal="center"/>
    </xf>
    <xf numFmtId="170" fontId="48" fillId="4" borderId="49" xfId="0" applyFont="1" applyFill="1" applyBorder="1"/>
    <xf numFmtId="170" fontId="48" fillId="4" borderId="47" xfId="0" applyFont="1" applyFill="1" applyBorder="1"/>
    <xf numFmtId="164" fontId="48" fillId="4" borderId="47" xfId="1" applyNumberFormat="1" applyFont="1" applyFill="1" applyBorder="1"/>
    <xf numFmtId="164" fontId="48" fillId="25" borderId="47" xfId="1" applyNumberFormat="1" applyFont="1" applyFill="1" applyBorder="1"/>
    <xf numFmtId="0" fontId="17" fillId="27" borderId="11" xfId="1" applyNumberFormat="1" applyFont="1" applyFill="1" applyBorder="1" applyAlignment="1">
      <alignment horizontal="center" wrapText="1"/>
    </xf>
    <xf numFmtId="164" fontId="17" fillId="27" borderId="11" xfId="1" applyNumberFormat="1" applyFont="1" applyFill="1" applyBorder="1" applyAlignment="1">
      <alignment horizontal="center" wrapText="1"/>
    </xf>
    <xf numFmtId="164" fontId="17" fillId="4" borderId="41" xfId="1" applyNumberFormat="1" applyFont="1" applyFill="1" applyBorder="1" applyAlignment="1">
      <alignment wrapText="1"/>
    </xf>
    <xf numFmtId="170" fontId="17" fillId="4" borderId="24" xfId="0" applyFont="1" applyFill="1" applyBorder="1"/>
    <xf numFmtId="170" fontId="17" fillId="4" borderId="16" xfId="0" applyFont="1" applyFill="1" applyBorder="1"/>
    <xf numFmtId="164" fontId="17" fillId="4" borderId="43" xfId="1" applyNumberFormat="1" applyFont="1" applyFill="1" applyBorder="1" applyAlignment="1">
      <alignment wrapText="1"/>
    </xf>
    <xf numFmtId="164" fontId="17" fillId="4" borderId="21" xfId="1" applyNumberFormat="1" applyFont="1" applyFill="1" applyBorder="1" applyAlignment="1">
      <alignment wrapText="1"/>
    </xf>
    <xf numFmtId="0" fontId="17" fillId="4" borderId="24" xfId="1" applyNumberFormat="1" applyFont="1" applyFill="1" applyBorder="1" applyAlignment="1">
      <alignment horizontal="center" wrapText="1"/>
    </xf>
    <xf numFmtId="0" fontId="17" fillId="4" borderId="21" xfId="1" applyNumberFormat="1" applyFont="1" applyFill="1" applyBorder="1" applyAlignment="1">
      <alignment horizontal="center" wrapText="1"/>
    </xf>
    <xf numFmtId="170" fontId="17" fillId="4" borderId="51" xfId="0" applyFont="1" applyFill="1" applyBorder="1"/>
    <xf numFmtId="170" fontId="17" fillId="4" borderId="52" xfId="0" applyFont="1" applyFill="1" applyBorder="1"/>
    <xf numFmtId="164" fontId="17" fillId="4" borderId="23" xfId="1" applyNumberFormat="1" applyFont="1" applyFill="1" applyBorder="1" applyAlignment="1">
      <alignment wrapText="1"/>
    </xf>
    <xf numFmtId="164" fontId="17" fillId="4" borderId="53" xfId="1" applyNumberFormat="1" applyFont="1" applyFill="1" applyBorder="1" applyAlignment="1">
      <alignment wrapText="1"/>
    </xf>
    <xf numFmtId="0" fontId="17" fillId="4" borderId="23" xfId="1" applyNumberFormat="1" applyFont="1" applyFill="1" applyBorder="1" applyAlignment="1">
      <alignment horizontal="center" wrapText="1"/>
    </xf>
    <xf numFmtId="170" fontId="17" fillId="4" borderId="54" xfId="0" applyFont="1" applyFill="1" applyBorder="1"/>
    <xf numFmtId="170" fontId="17" fillId="4" borderId="55" xfId="0" applyFont="1" applyFill="1" applyBorder="1"/>
    <xf numFmtId="164" fontId="17" fillId="27" borderId="6" xfId="1" applyNumberFormat="1" applyFont="1" applyFill="1" applyBorder="1" applyAlignment="1">
      <alignment horizontal="center" wrapText="1"/>
    </xf>
    <xf numFmtId="164" fontId="17" fillId="4" borderId="56" xfId="1" applyNumberFormat="1" applyFont="1" applyFill="1" applyBorder="1"/>
    <xf numFmtId="164" fontId="17" fillId="4" borderId="57" xfId="1" applyNumberFormat="1" applyFont="1" applyFill="1" applyBorder="1"/>
    <xf numFmtId="164" fontId="17" fillId="4" borderId="58" xfId="1" applyNumberFormat="1" applyFont="1" applyFill="1" applyBorder="1"/>
    <xf numFmtId="44" fontId="17" fillId="8" borderId="11" xfId="1" applyFont="1" applyFill="1" applyBorder="1" applyAlignment="1">
      <alignment horizontal="center" wrapText="1"/>
    </xf>
    <xf numFmtId="44" fontId="17" fillId="8" borderId="9" xfId="1" applyFont="1" applyFill="1" applyBorder="1" applyAlignment="1">
      <alignment horizontal="center" wrapText="1"/>
    </xf>
    <xf numFmtId="44" fontId="17" fillId="8" borderId="3" xfId="1" applyFont="1" applyFill="1" applyBorder="1" applyAlignment="1">
      <alignment horizontal="center"/>
    </xf>
    <xf numFmtId="170" fontId="17" fillId="8" borderId="3" xfId="0" applyFont="1" applyFill="1" applyBorder="1" applyAlignment="1">
      <alignment horizontal="center"/>
    </xf>
    <xf numFmtId="170" fontId="5" fillId="8" borderId="3" xfId="3" quotePrefix="1" applyFont="1" applyFill="1" applyBorder="1" applyAlignment="1" applyProtection="1">
      <alignment horizontal="center" wrapText="1"/>
    </xf>
    <xf numFmtId="170" fontId="6" fillId="8" borderId="3" xfId="3" applyFont="1" applyFill="1" applyBorder="1" applyAlignment="1" applyProtection="1">
      <alignment horizontal="center"/>
    </xf>
    <xf numFmtId="170" fontId="6" fillId="0" borderId="0" xfId="3" applyAlignment="1" applyProtection="1">
      <alignment horizontal="left" wrapText="1"/>
    </xf>
    <xf numFmtId="170" fontId="6" fillId="0" borderId="0" xfId="3" applyFont="1" applyAlignment="1" applyProtection="1">
      <alignment horizontal="left" wrapText="1"/>
    </xf>
    <xf numFmtId="170" fontId="6" fillId="7" borderId="3" xfId="3" applyFont="1" applyFill="1" applyBorder="1" applyAlignment="1" applyProtection="1">
      <alignment horizontal="center"/>
      <protection locked="0"/>
    </xf>
    <xf numFmtId="170" fontId="6" fillId="8" borderId="25" xfId="3" applyFill="1" applyBorder="1" applyAlignment="1" applyProtection="1">
      <alignment horizontal="center"/>
    </xf>
    <xf numFmtId="170" fontId="6" fillId="8" borderId="6" xfId="3" applyFill="1" applyBorder="1" applyAlignment="1" applyProtection="1">
      <alignment horizontal="center"/>
    </xf>
    <xf numFmtId="170" fontId="7" fillId="24" borderId="44" xfId="3" applyFont="1" applyFill="1" applyBorder="1" applyAlignment="1" applyProtection="1">
      <alignment horizontal="center"/>
    </xf>
    <xf numFmtId="170" fontId="7" fillId="24" borderId="45" xfId="3" applyFont="1" applyFill="1" applyBorder="1" applyAlignment="1" applyProtection="1">
      <alignment horizontal="center"/>
    </xf>
    <xf numFmtId="170" fontId="6" fillId="8" borderId="3" xfId="3" applyFill="1" applyBorder="1" applyAlignment="1" applyProtection="1">
      <alignment horizontal="center"/>
    </xf>
    <xf numFmtId="170" fontId="6" fillId="8" borderId="26" xfId="3" applyFill="1" applyBorder="1" applyAlignment="1" applyProtection="1">
      <alignment horizontal="center"/>
    </xf>
    <xf numFmtId="170" fontId="6" fillId="8" borderId="40" xfId="3" applyFill="1" applyBorder="1" applyAlignment="1" applyProtection="1">
      <alignment horizontal="center"/>
    </xf>
    <xf numFmtId="170" fontId="6" fillId="8" borderId="22" xfId="3" applyFill="1" applyBorder="1" applyAlignment="1" applyProtection="1">
      <alignment horizontal="center"/>
    </xf>
    <xf numFmtId="164" fontId="17" fillId="4" borderId="3" xfId="1" applyNumberFormat="1" applyFont="1" applyFill="1" applyBorder="1" applyAlignment="1">
      <alignment horizontal="center" wrapText="1"/>
    </xf>
    <xf numFmtId="164" fontId="48" fillId="4" borderId="49" xfId="1" applyNumberFormat="1" applyFont="1" applyFill="1" applyBorder="1" applyAlignment="1">
      <alignment horizontal="center"/>
    </xf>
    <xf numFmtId="164" fontId="48" fillId="4" borderId="50" xfId="1" applyNumberFormat="1" applyFont="1" applyFill="1" applyBorder="1" applyAlignment="1">
      <alignment horizontal="center"/>
    </xf>
    <xf numFmtId="170" fontId="6" fillId="8" borderId="9" xfId="3" applyFill="1" applyBorder="1" applyAlignment="1" applyProtection="1">
      <alignment horizontal="center"/>
    </xf>
    <xf numFmtId="170" fontId="6" fillId="0" borderId="0" xfId="3" applyAlignment="1" applyProtection="1">
      <alignment horizontal="left"/>
    </xf>
    <xf numFmtId="170" fontId="5" fillId="8" borderId="3" xfId="3" applyFont="1" applyFill="1" applyBorder="1" applyAlignment="1" applyProtection="1">
      <alignment horizontal="center" wrapText="1"/>
    </xf>
    <xf numFmtId="170" fontId="15" fillId="0" borderId="0" xfId="0" applyFont="1" applyBorder="1" applyAlignment="1">
      <alignment horizontal="center"/>
    </xf>
    <xf numFmtId="170" fontId="15" fillId="2" borderId="17" xfId="0" applyFont="1" applyFill="1" applyBorder="1" applyAlignment="1">
      <alignment horizontal="center"/>
    </xf>
    <xf numFmtId="44" fontId="15" fillId="2" borderId="17" xfId="0" applyNumberFormat="1" applyFont="1" applyFill="1" applyBorder="1" applyAlignment="1">
      <alignment horizontal="center"/>
    </xf>
    <xf numFmtId="170" fontId="5" fillId="2" borderId="17" xfId="0" applyFont="1" applyFill="1" applyBorder="1" applyAlignment="1">
      <alignment horizontal="center"/>
    </xf>
    <xf numFmtId="170" fontId="15" fillId="2" borderId="0" xfId="0" applyFont="1" applyFill="1" applyBorder="1" applyAlignment="1">
      <alignment horizontal="center"/>
    </xf>
    <xf numFmtId="170" fontId="4" fillId="0" borderId="0" xfId="0" applyFont="1" applyBorder="1" applyAlignment="1">
      <alignment horizontal="center"/>
    </xf>
    <xf numFmtId="170" fontId="3" fillId="2" borderId="14" xfId="0" applyFont="1" applyFill="1" applyBorder="1" applyAlignment="1">
      <alignment horizontal="center" wrapText="1"/>
    </xf>
    <xf numFmtId="170" fontId="3" fillId="2" borderId="8" xfId="0" applyFont="1" applyFill="1" applyBorder="1" applyAlignment="1">
      <alignment horizontal="center" wrapText="1"/>
    </xf>
    <xf numFmtId="170" fontId="43" fillId="25" borderId="0" xfId="3" applyFont="1" applyFill="1" applyAlignment="1" applyProtection="1">
      <alignment horizontal="center"/>
    </xf>
    <xf numFmtId="170" fontId="0" fillId="0" borderId="3" xfId="0" applyBorder="1" applyAlignment="1">
      <alignment horizontal="center"/>
    </xf>
    <xf numFmtId="170" fontId="0" fillId="0" borderId="11" xfId="0" applyBorder="1" applyAlignment="1">
      <alignment horizontal="center" wrapText="1"/>
    </xf>
    <xf numFmtId="170" fontId="0" fillId="0" borderId="9" xfId="0" applyBorder="1" applyAlignment="1">
      <alignment horizontal="center" wrapText="1"/>
    </xf>
    <xf numFmtId="170" fontId="0" fillId="0" borderId="3" xfId="0" applyFill="1" applyBorder="1" applyAlignment="1">
      <alignment horizontal="center" wrapText="1"/>
    </xf>
    <xf numFmtId="170" fontId="0" fillId="0" borderId="6" xfId="0" applyFill="1" applyBorder="1" applyAlignment="1">
      <alignment horizontal="center" wrapText="1"/>
    </xf>
    <xf numFmtId="170" fontId="0" fillId="0" borderId="3" xfId="0" applyFill="1" applyBorder="1" applyAlignment="1">
      <alignment horizontal="center"/>
    </xf>
  </cellXfs>
  <cellStyles count="52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heck Cell 2" xfId="37"/>
    <cellStyle name="Comma" xfId="10" builtinId="3"/>
    <cellStyle name="Comma 2" xfId="6"/>
    <cellStyle name="Currency" xfId="1" builtinId="4"/>
    <cellStyle name="Currency 2" xfId="4"/>
    <cellStyle name="Currency 3" xfId="7"/>
    <cellStyle name="Explanatory Text 2" xfId="38"/>
    <cellStyle name="Good 2" xfId="39"/>
    <cellStyle name="Heading 1 2" xfId="40"/>
    <cellStyle name="Heading 2 2" xfId="41"/>
    <cellStyle name="Heading 3 2" xfId="42"/>
    <cellStyle name="Heading 4 2" xfId="43"/>
    <cellStyle name="Input 2" xfId="44"/>
    <cellStyle name="Linked Cell 2" xfId="45"/>
    <cellStyle name="Neutral 2" xfId="46"/>
    <cellStyle name="Normal" xfId="0" builtinId="0"/>
    <cellStyle name="Normal 2" xfId="3"/>
    <cellStyle name="Normal 3" xfId="51"/>
    <cellStyle name="Note 2" xfId="8"/>
    <cellStyle name="Output 2" xfId="47"/>
    <cellStyle name="Percent" xfId="2" builtinId="5"/>
    <cellStyle name="Percent 2" xfId="5"/>
    <cellStyle name="subtotal" xfId="9"/>
    <cellStyle name="Title 2" xfId="48"/>
    <cellStyle name="Total 2" xfId="49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tabSelected="1" zoomScaleNormal="100" workbookViewId="0"/>
  </sheetViews>
  <sheetFormatPr defaultRowHeight="15"/>
  <cols>
    <col min="1" max="1" width="20.28515625" bestFit="1" customWidth="1"/>
    <col min="2" max="8" width="13" customWidth="1"/>
  </cols>
  <sheetData>
    <row r="1" spans="1:8" ht="18">
      <c r="A1" s="294" t="s">
        <v>542</v>
      </c>
      <c r="B1" s="1"/>
      <c r="C1" s="1"/>
      <c r="D1" s="1"/>
      <c r="E1" s="1"/>
      <c r="F1" s="1"/>
      <c r="G1" s="1"/>
      <c r="H1" s="1"/>
    </row>
    <row r="2" spans="1:8" ht="27">
      <c r="A2" s="295" t="s">
        <v>479</v>
      </c>
      <c r="B2" s="296"/>
      <c r="C2" s="296"/>
      <c r="D2" s="296"/>
      <c r="E2" s="296"/>
      <c r="F2" s="296"/>
      <c r="G2" s="296"/>
      <c r="H2" s="296"/>
    </row>
    <row r="3" spans="1:8" ht="9.75" customHeight="1"/>
    <row r="4" spans="1:8" ht="26.25">
      <c r="A4" s="130" t="s">
        <v>420</v>
      </c>
      <c r="B4" s="148" t="s">
        <v>22</v>
      </c>
      <c r="C4" s="148" t="s">
        <v>98</v>
      </c>
      <c r="D4" s="148" t="s">
        <v>99</v>
      </c>
      <c r="E4" s="148" t="s">
        <v>100</v>
      </c>
      <c r="F4" s="148" t="s">
        <v>101</v>
      </c>
      <c r="G4" s="148" t="s">
        <v>102</v>
      </c>
      <c r="H4" s="148" t="s">
        <v>103</v>
      </c>
    </row>
    <row r="5" spans="1:8">
      <c r="A5" s="128" t="s">
        <v>397</v>
      </c>
      <c r="B5" s="149">
        <f>'PPAJr-Budget'!D11</f>
        <v>0</v>
      </c>
      <c r="C5" s="149">
        <f>'PPAJr-Budget'!E11</f>
        <v>1252328.7231999999</v>
      </c>
      <c r="D5" s="149">
        <f>'PPAJr-Budget'!F11</f>
        <v>1781024.786176</v>
      </c>
      <c r="E5" s="149">
        <f>'PPAJr-Budget'!G11</f>
        <v>1915060.8153737602</v>
      </c>
      <c r="F5" s="149">
        <f>'PPAJr-Budget'!H11</f>
        <v>2174233.4414608451</v>
      </c>
      <c r="G5" s="149">
        <f>'PPAJr-Budget'!I11</f>
        <v>2312229.8141044201</v>
      </c>
      <c r="H5" s="149">
        <f>'PPAJr-Budget'!J11</f>
        <v>2327082.1454618643</v>
      </c>
    </row>
    <row r="6" spans="1:8">
      <c r="A6" s="128" t="s">
        <v>421</v>
      </c>
      <c r="B6" s="149">
        <f>'PPAJr-Budget'!D126</f>
        <v>15745.9</v>
      </c>
      <c r="C6" s="149">
        <f>'PPAJr-Budget'!E126</f>
        <v>1324448.1186986249</v>
      </c>
      <c r="D6" s="149">
        <f>'PPAJr-Budget'!F126</f>
        <v>1699782.3793936544</v>
      </c>
      <c r="E6" s="149">
        <f>'PPAJr-Budget'!G126</f>
        <v>1845775.9388543332</v>
      </c>
      <c r="F6" s="149">
        <f>'PPAJr-Budget'!H126</f>
        <v>2108593.5856019137</v>
      </c>
      <c r="G6" s="149">
        <f>'PPAJr-Budget'!I126</f>
        <v>2216548.3861227771</v>
      </c>
      <c r="H6" s="149">
        <f>'PPAJr-Budget'!J126</f>
        <v>2276941.2047650977</v>
      </c>
    </row>
    <row r="7" spans="1:8">
      <c r="A7" s="146" t="s">
        <v>422</v>
      </c>
      <c r="B7" s="150">
        <f t="shared" ref="B7:H7" si="0">B5-B6</f>
        <v>-15745.9</v>
      </c>
      <c r="C7" s="150">
        <f t="shared" si="0"/>
        <v>-72119.395498625003</v>
      </c>
      <c r="D7" s="150">
        <f t="shared" si="0"/>
        <v>81242.406782345613</v>
      </c>
      <c r="E7" s="150">
        <f t="shared" si="0"/>
        <v>69284.876519426936</v>
      </c>
      <c r="F7" s="150">
        <f t="shared" si="0"/>
        <v>65639.855858931318</v>
      </c>
      <c r="G7" s="150">
        <f t="shared" si="0"/>
        <v>95681.427981643006</v>
      </c>
      <c r="H7" s="150">
        <f t="shared" si="0"/>
        <v>50140.9406967666</v>
      </c>
    </row>
    <row r="9" spans="1:8" ht="26.25">
      <c r="A9" s="130" t="s">
        <v>423</v>
      </c>
      <c r="B9" s="148" t="s">
        <v>22</v>
      </c>
      <c r="C9" s="148" t="s">
        <v>98</v>
      </c>
      <c r="D9" s="148" t="s">
        <v>99</v>
      </c>
      <c r="E9" s="148" t="s">
        <v>100</v>
      </c>
      <c r="F9" s="148" t="s">
        <v>101</v>
      </c>
      <c r="G9" s="148" t="s">
        <v>102</v>
      </c>
      <c r="H9" s="148" t="s">
        <v>103</v>
      </c>
    </row>
    <row r="10" spans="1:8">
      <c r="A10" s="128" t="s">
        <v>397</v>
      </c>
      <c r="B10" s="149">
        <f>'PPA-Budget'!D11</f>
        <v>2481454.04</v>
      </c>
      <c r="C10" s="149">
        <f>'PPA-Budget'!E11</f>
        <v>2466474.1088</v>
      </c>
      <c r="D10" s="149">
        <f>'PPA-Budget'!F11</f>
        <v>2475847.8210960003</v>
      </c>
      <c r="E10" s="149">
        <f>'PPA-Budget'!G11</f>
        <v>2486553.00881832</v>
      </c>
      <c r="F10" s="149">
        <f>'PPA-Budget'!H11</f>
        <v>2498243.7596569546</v>
      </c>
      <c r="G10" s="149">
        <f>'PPA-Budget'!I11</f>
        <v>2511101.2403439395</v>
      </c>
      <c r="H10" s="149">
        <f>'PPA-Budget'!J11</f>
        <v>2525053.1323905606</v>
      </c>
    </row>
    <row r="11" spans="1:8">
      <c r="A11" s="128" t="s">
        <v>421</v>
      </c>
      <c r="B11" s="149">
        <f>'PPA-Budget'!D126</f>
        <v>2491374.6587593649</v>
      </c>
      <c r="C11" s="149">
        <f>'PPA-Budget'!E126</f>
        <v>2454934.7158448631</v>
      </c>
      <c r="D11" s="149">
        <f>'PPA-Budget'!F126</f>
        <v>2473483.6744637955</v>
      </c>
      <c r="E11" s="149">
        <f>'PPA-Budget'!G126</f>
        <v>2572276.0881462907</v>
      </c>
      <c r="F11" s="149">
        <f>'PPA-Budget'!H126</f>
        <v>2577950.2565252045</v>
      </c>
      <c r="G11" s="149">
        <f>'PPA-Budget'!I126</f>
        <v>2564082.7580324328</v>
      </c>
      <c r="H11" s="149">
        <f>'PPA-Budget'!J126</f>
        <v>2601360.873841804</v>
      </c>
    </row>
    <row r="12" spans="1:8">
      <c r="A12" s="146" t="s">
        <v>422</v>
      </c>
      <c r="B12" s="150">
        <f t="shared" ref="B12:H12" si="1">B10-B11</f>
        <v>-9920.618759364821</v>
      </c>
      <c r="C12" s="150">
        <f t="shared" si="1"/>
        <v>11539.392955136951</v>
      </c>
      <c r="D12" s="150">
        <f t="shared" si="1"/>
        <v>2364.1466322047636</v>
      </c>
      <c r="E12" s="150">
        <f t="shared" si="1"/>
        <v>-85723.079327970743</v>
      </c>
      <c r="F12" s="150">
        <f t="shared" si="1"/>
        <v>-79706.49686824996</v>
      </c>
      <c r="G12" s="150">
        <f t="shared" si="1"/>
        <v>-52981.517688493244</v>
      </c>
      <c r="H12" s="150">
        <f t="shared" si="1"/>
        <v>-76307.741451243404</v>
      </c>
    </row>
    <row r="14" spans="1:8" ht="26.25">
      <c r="A14" s="130" t="s">
        <v>424</v>
      </c>
      <c r="B14" s="148" t="s">
        <v>22</v>
      </c>
      <c r="C14" s="148" t="s">
        <v>98</v>
      </c>
      <c r="D14" s="148" t="s">
        <v>99</v>
      </c>
      <c r="E14" s="148" t="s">
        <v>100</v>
      </c>
      <c r="F14" s="148" t="s">
        <v>101</v>
      </c>
      <c r="G14" s="148" t="s">
        <v>102</v>
      </c>
      <c r="H14" s="148" t="s">
        <v>103</v>
      </c>
    </row>
    <row r="15" spans="1:8">
      <c r="A15" s="128" t="s">
        <v>397</v>
      </c>
      <c r="B15" s="149">
        <f>BACare!B96</f>
        <v>67248</v>
      </c>
      <c r="C15" s="149">
        <f>BACare!C96</f>
        <v>118926</v>
      </c>
      <c r="D15" s="149">
        <f>BACare!D96</f>
        <v>139806</v>
      </c>
      <c r="E15" s="149">
        <f>BACare!E96</f>
        <v>143946</v>
      </c>
      <c r="F15" s="149">
        <f>BACare!F96</f>
        <v>155556</v>
      </c>
      <c r="G15" s="149">
        <f>BACare!G96</f>
        <v>159696</v>
      </c>
      <c r="H15" s="149">
        <f>BACare!H96</f>
        <v>159696</v>
      </c>
    </row>
    <row r="16" spans="1:8">
      <c r="A16" s="128" t="s">
        <v>421</v>
      </c>
      <c r="B16" s="149">
        <f>BACare!B99+BACare!B100</f>
        <v>40946.117792000005</v>
      </c>
      <c r="C16" s="149">
        <f>BACare!C99+BACare!C100</f>
        <v>54257.613792000004</v>
      </c>
      <c r="D16" s="149">
        <f>BACare!D99+BACare!D100</f>
        <v>63854.409791999991</v>
      </c>
      <c r="E16" s="149">
        <f>BACare!E99+BACare!E100</f>
        <v>68752.489791999993</v>
      </c>
      <c r="F16" s="149">
        <f>BACare!F99+BACare!F100</f>
        <v>69520.68979199999</v>
      </c>
      <c r="G16" s="149">
        <f>BACare!G99+BACare!G100</f>
        <v>70007.68979199999</v>
      </c>
      <c r="H16" s="149">
        <f>BACare!H99+BACare!H100</f>
        <v>69791.68979199999</v>
      </c>
    </row>
    <row r="17" spans="1:8">
      <c r="A17" s="146" t="s">
        <v>422</v>
      </c>
      <c r="B17" s="150">
        <f>B15-B16</f>
        <v>26301.882207999995</v>
      </c>
      <c r="C17" s="150">
        <f t="shared" ref="C17:H17" si="2">C15-C16</f>
        <v>64668.386207999996</v>
      </c>
      <c r="D17" s="150">
        <f t="shared" si="2"/>
        <v>75951.590208000009</v>
      </c>
      <c r="E17" s="150">
        <f t="shared" si="2"/>
        <v>75193.510208000007</v>
      </c>
      <c r="F17" s="150">
        <f t="shared" si="2"/>
        <v>86035.31020800001</v>
      </c>
      <c r="G17" s="150">
        <f t="shared" si="2"/>
        <v>89688.31020800001</v>
      </c>
      <c r="H17" s="150">
        <f t="shared" si="2"/>
        <v>89904.31020800001</v>
      </c>
    </row>
    <row r="19" spans="1:8" ht="26.25" hidden="1">
      <c r="A19" s="130" t="s">
        <v>425</v>
      </c>
      <c r="B19" s="148" t="s">
        <v>22</v>
      </c>
      <c r="C19" s="148" t="s">
        <v>98</v>
      </c>
      <c r="D19" s="148" t="s">
        <v>99</v>
      </c>
      <c r="E19" s="148" t="s">
        <v>100</v>
      </c>
      <c r="F19" s="148" t="s">
        <v>101</v>
      </c>
      <c r="G19" s="148" t="s">
        <v>102</v>
      </c>
      <c r="H19" s="148" t="s">
        <v>103</v>
      </c>
    </row>
    <row r="20" spans="1:8" hidden="1">
      <c r="A20" s="128" t="s">
        <v>397</v>
      </c>
      <c r="B20" s="149"/>
      <c r="C20" s="149"/>
      <c r="D20" s="149"/>
      <c r="E20" s="149"/>
      <c r="F20" s="149"/>
      <c r="G20" s="149"/>
      <c r="H20" s="149"/>
    </row>
    <row r="21" spans="1:8" hidden="1">
      <c r="A21" s="128" t="s">
        <v>421</v>
      </c>
      <c r="B21" s="149"/>
      <c r="C21" s="149"/>
      <c r="D21" s="149"/>
      <c r="E21" s="149"/>
      <c r="F21" s="149"/>
      <c r="G21" s="149"/>
      <c r="H21" s="149"/>
    </row>
    <row r="22" spans="1:8" hidden="1">
      <c r="A22" s="146" t="s">
        <v>422</v>
      </c>
      <c r="B22" s="150">
        <f t="shared" ref="B22:H22" si="3">B20-B21</f>
        <v>0</v>
      </c>
      <c r="C22" s="150">
        <f t="shared" si="3"/>
        <v>0</v>
      </c>
      <c r="D22" s="150">
        <f t="shared" si="3"/>
        <v>0</v>
      </c>
      <c r="E22" s="150">
        <f t="shared" si="3"/>
        <v>0</v>
      </c>
      <c r="F22" s="150">
        <f t="shared" si="3"/>
        <v>0</v>
      </c>
      <c r="G22" s="150">
        <f t="shared" si="3"/>
        <v>0</v>
      </c>
      <c r="H22" s="150">
        <f t="shared" si="3"/>
        <v>0</v>
      </c>
    </row>
    <row r="23" spans="1:8" hidden="1"/>
    <row r="24" spans="1:8" ht="15.75" thickBot="1"/>
    <row r="25" spans="1:8">
      <c r="A25" s="174" t="s">
        <v>47</v>
      </c>
      <c r="B25" s="175" t="s">
        <v>22</v>
      </c>
      <c r="C25" s="175" t="s">
        <v>98</v>
      </c>
      <c r="D25" s="175" t="s">
        <v>99</v>
      </c>
      <c r="E25" s="175" t="s">
        <v>100</v>
      </c>
      <c r="F25" s="175" t="s">
        <v>101</v>
      </c>
      <c r="G25" s="175" t="s">
        <v>102</v>
      </c>
      <c r="H25" s="176" t="s">
        <v>103</v>
      </c>
    </row>
    <row r="26" spans="1:8">
      <c r="A26" s="177" t="s">
        <v>397</v>
      </c>
      <c r="B26" s="149">
        <f t="shared" ref="B26:H27" si="4">B20+B15+B10+B5</f>
        <v>2548702.04</v>
      </c>
      <c r="C26" s="149">
        <f t="shared" si="4"/>
        <v>3837728.8319999999</v>
      </c>
      <c r="D26" s="149">
        <f t="shared" si="4"/>
        <v>4396678.6072720001</v>
      </c>
      <c r="E26" s="149">
        <f t="shared" si="4"/>
        <v>4545559.8241920806</v>
      </c>
      <c r="F26" s="149">
        <f t="shared" si="4"/>
        <v>4828033.2011177996</v>
      </c>
      <c r="G26" s="149">
        <f t="shared" si="4"/>
        <v>4983027.0544483596</v>
      </c>
      <c r="H26" s="178">
        <f t="shared" si="4"/>
        <v>5011831.2778524254</v>
      </c>
    </row>
    <row r="27" spans="1:8">
      <c r="A27" s="177" t="s">
        <v>421</v>
      </c>
      <c r="B27" s="149">
        <f t="shared" si="4"/>
        <v>2548066.6765513648</v>
      </c>
      <c r="C27" s="149">
        <f t="shared" si="4"/>
        <v>3833640.4483354879</v>
      </c>
      <c r="D27" s="149">
        <f t="shared" si="4"/>
        <v>4237120.4636494499</v>
      </c>
      <c r="E27" s="149">
        <f t="shared" si="4"/>
        <v>4486804.5167926243</v>
      </c>
      <c r="F27" s="149">
        <f t="shared" si="4"/>
        <v>4756064.531919118</v>
      </c>
      <c r="G27" s="149">
        <f t="shared" si="4"/>
        <v>4850638.8339472096</v>
      </c>
      <c r="H27" s="178">
        <f t="shared" si="4"/>
        <v>4948093.7683989014</v>
      </c>
    </row>
    <row r="28" spans="1:8" ht="15.75" thickBot="1">
      <c r="A28" s="179" t="s">
        <v>422</v>
      </c>
      <c r="B28" s="180">
        <f>B26-B27</f>
        <v>635.36344863520935</v>
      </c>
      <c r="C28" s="180">
        <f t="shared" ref="C28:H28" si="5">C26-C27</f>
        <v>4088.3836645120755</v>
      </c>
      <c r="D28" s="180">
        <f t="shared" si="5"/>
        <v>159558.14362255018</v>
      </c>
      <c r="E28" s="180">
        <f t="shared" si="5"/>
        <v>58755.307399456389</v>
      </c>
      <c r="F28" s="180">
        <f t="shared" si="5"/>
        <v>71968.6691986816</v>
      </c>
      <c r="G28" s="180">
        <f t="shared" si="5"/>
        <v>132388.22050115</v>
      </c>
      <c r="H28" s="181">
        <f t="shared" si="5"/>
        <v>63737.509453523904</v>
      </c>
    </row>
  </sheetData>
  <sheetProtection password="DF03" sheet="1" objects="1" scenarios="1"/>
  <pageMargins left="0.5" right="0.5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46"/>
  <sheetViews>
    <sheetView showGridLines="0" view="pageLayout" zoomScale="85" zoomScaleNormal="100" zoomScalePageLayoutView="85" workbookViewId="0"/>
  </sheetViews>
  <sheetFormatPr defaultRowHeight="12.75"/>
  <cols>
    <col min="1" max="1" width="14" style="26" bestFit="1" customWidth="1"/>
    <col min="2" max="2" width="14.85546875" style="26" customWidth="1"/>
    <col min="3" max="9" width="12.85546875" style="26" customWidth="1"/>
    <col min="10" max="10" width="11.85546875" style="26" bestFit="1" customWidth="1"/>
    <col min="11" max="16" width="3" style="26" bestFit="1" customWidth="1"/>
    <col min="17" max="17" width="2" style="26" bestFit="1" customWidth="1"/>
    <col min="18" max="18" width="8.7109375" style="26" bestFit="1" customWidth="1"/>
    <col min="19" max="16384" width="9.140625" style="26"/>
  </cols>
  <sheetData>
    <row r="1" spans="1:17" ht="27">
      <c r="A1" s="295" t="s">
        <v>204</v>
      </c>
      <c r="B1" s="295"/>
      <c r="C1" s="295"/>
      <c r="D1" s="295"/>
      <c r="E1" s="295"/>
      <c r="F1" s="295"/>
      <c r="G1" s="295"/>
      <c r="H1" s="295"/>
      <c r="I1" s="295"/>
    </row>
    <row r="2" spans="1:17">
      <c r="B2" s="27" t="s">
        <v>42</v>
      </c>
      <c r="J2" s="28"/>
      <c r="K2" s="29"/>
    </row>
    <row r="3" spans="1:17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J3" s="28"/>
      <c r="K3" s="29"/>
    </row>
    <row r="4" spans="1:17">
      <c r="B4" s="194" t="s">
        <v>472</v>
      </c>
      <c r="C4" s="197">
        <f>Combined!B5</f>
        <v>0</v>
      </c>
      <c r="D4" s="197">
        <f>Combined!C5</f>
        <v>1252328.7231999999</v>
      </c>
      <c r="E4" s="197">
        <f>Combined!D5</f>
        <v>1781024.786176</v>
      </c>
      <c r="F4" s="197">
        <f>Combined!E5</f>
        <v>1915060.8153737602</v>
      </c>
      <c r="G4" s="197">
        <f>Combined!F5</f>
        <v>2174233.4414608451</v>
      </c>
      <c r="H4" s="197">
        <f>Combined!G5</f>
        <v>2312229.8141044201</v>
      </c>
      <c r="I4" s="197">
        <f>Combined!H5</f>
        <v>2327082.1454618643</v>
      </c>
      <c r="J4" s="28"/>
      <c r="K4" s="29"/>
    </row>
    <row r="5" spans="1:17" ht="13.5" thickBot="1">
      <c r="B5" s="195" t="s">
        <v>473</v>
      </c>
      <c r="C5" s="165">
        <f>Combined!B6</f>
        <v>15745.9</v>
      </c>
      <c r="D5" s="165">
        <f>Combined!C6</f>
        <v>1324448.1186986249</v>
      </c>
      <c r="E5" s="165">
        <f>Combined!D6</f>
        <v>1699782.3793936544</v>
      </c>
      <c r="F5" s="165">
        <f>Combined!E6</f>
        <v>1845775.9388543332</v>
      </c>
      <c r="G5" s="165">
        <f>Combined!F6</f>
        <v>2108593.5856019137</v>
      </c>
      <c r="H5" s="165">
        <f>Combined!G6</f>
        <v>2216548.3861227771</v>
      </c>
      <c r="I5" s="165">
        <f>Combined!H6</f>
        <v>2276941.2047650977</v>
      </c>
      <c r="J5" s="28"/>
      <c r="K5" s="29"/>
    </row>
    <row r="6" spans="1:17" ht="13.5" thickBot="1">
      <c r="B6" s="166" t="s">
        <v>474</v>
      </c>
      <c r="C6" s="167">
        <f>Combined!B7</f>
        <v>-15745.9</v>
      </c>
      <c r="D6" s="167">
        <f>Combined!C7</f>
        <v>-72119.395498625003</v>
      </c>
      <c r="E6" s="167">
        <f>Combined!D7</f>
        <v>81242.406782345613</v>
      </c>
      <c r="F6" s="167">
        <f>Combined!E7</f>
        <v>69284.876519426936</v>
      </c>
      <c r="G6" s="167">
        <f>Combined!F7</f>
        <v>65639.855858931318</v>
      </c>
      <c r="H6" s="167">
        <f>Combined!G7</f>
        <v>95681.427981643006</v>
      </c>
      <c r="I6" s="167">
        <f>Combined!H7</f>
        <v>50140.9406967666</v>
      </c>
      <c r="J6" s="28"/>
      <c r="K6" s="29"/>
    </row>
    <row r="7" spans="1:17" ht="13.5" thickTop="1">
      <c r="B7" s="168" t="s">
        <v>471</v>
      </c>
      <c r="C7" s="169">
        <f>Combined!B28</f>
        <v>635.36344863520935</v>
      </c>
      <c r="D7" s="169">
        <f>Combined!C28</f>
        <v>4088.3836645120755</v>
      </c>
      <c r="E7" s="169">
        <f>Combined!D28</f>
        <v>159558.14362255018</v>
      </c>
      <c r="F7" s="169">
        <f>Combined!E28</f>
        <v>58755.307399456389</v>
      </c>
      <c r="G7" s="169">
        <f>Combined!F28</f>
        <v>71968.6691986816</v>
      </c>
      <c r="H7" s="169">
        <f>Combined!G28</f>
        <v>132388.22050115</v>
      </c>
      <c r="I7" s="169">
        <f>Combined!H28</f>
        <v>63737.509453523904</v>
      </c>
      <c r="J7" s="28"/>
      <c r="K7" s="29"/>
    </row>
    <row r="9" spans="1:17" ht="23.25" thickBot="1">
      <c r="A9" s="34" t="s">
        <v>43</v>
      </c>
      <c r="B9" s="35"/>
      <c r="C9" s="35"/>
      <c r="D9" s="35"/>
      <c r="E9" s="35"/>
      <c r="F9" s="35"/>
      <c r="G9" s="35"/>
      <c r="H9" s="35"/>
      <c r="I9" s="35"/>
    </row>
    <row r="10" spans="1:17">
      <c r="B10" s="416" t="s">
        <v>44</v>
      </c>
      <c r="C10" s="416"/>
      <c r="D10" s="416"/>
      <c r="E10" s="416"/>
      <c r="F10" s="416"/>
      <c r="G10" s="416"/>
      <c r="H10" s="416"/>
      <c r="I10" s="416"/>
    </row>
    <row r="11" spans="1:17">
      <c r="B11" s="193" t="s">
        <v>45</v>
      </c>
      <c r="C11" s="192" t="s">
        <v>22</v>
      </c>
      <c r="D11" s="192" t="s">
        <v>98</v>
      </c>
      <c r="E11" s="192" t="s">
        <v>99</v>
      </c>
      <c r="F11" s="192" t="s">
        <v>100</v>
      </c>
      <c r="G11" s="192" t="s">
        <v>101</v>
      </c>
      <c r="H11" s="192" t="s">
        <v>102</v>
      </c>
      <c r="I11" s="192" t="s">
        <v>103</v>
      </c>
    </row>
    <row r="12" spans="1:17">
      <c r="B12" s="194" t="s">
        <v>185</v>
      </c>
      <c r="C12" s="238">
        <v>0</v>
      </c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K12" s="248"/>
      <c r="L12" s="248"/>
      <c r="M12" s="248"/>
      <c r="N12" s="248"/>
      <c r="O12" s="248"/>
      <c r="P12" s="248"/>
      <c r="Q12" s="248"/>
    </row>
    <row r="13" spans="1:17">
      <c r="B13" s="194" t="s">
        <v>186</v>
      </c>
      <c r="C13" s="238">
        <v>0</v>
      </c>
      <c r="D13" s="238">
        <v>3</v>
      </c>
      <c r="E13" s="238">
        <v>4</v>
      </c>
      <c r="F13" s="238">
        <v>4</v>
      </c>
      <c r="G13" s="238">
        <v>4</v>
      </c>
      <c r="H13" s="238">
        <v>4</v>
      </c>
      <c r="I13" s="238">
        <v>4</v>
      </c>
      <c r="K13" s="248"/>
      <c r="L13" s="248"/>
      <c r="M13" s="248"/>
      <c r="N13" s="248"/>
      <c r="O13" s="248"/>
      <c r="P13" s="248"/>
      <c r="Q13" s="248"/>
    </row>
    <row r="14" spans="1:17">
      <c r="B14" s="239">
        <v>1</v>
      </c>
      <c r="C14" s="238">
        <v>0</v>
      </c>
      <c r="D14" s="238">
        <v>3</v>
      </c>
      <c r="E14" s="238">
        <v>3</v>
      </c>
      <c r="F14" s="238">
        <v>3</v>
      </c>
      <c r="G14" s="238">
        <v>4</v>
      </c>
      <c r="H14" s="238">
        <v>4</v>
      </c>
      <c r="I14" s="238">
        <v>4</v>
      </c>
      <c r="K14" s="248"/>
      <c r="L14" s="248"/>
      <c r="M14" s="248"/>
      <c r="N14" s="248"/>
      <c r="O14" s="248"/>
      <c r="P14" s="248"/>
      <c r="Q14" s="248"/>
    </row>
    <row r="15" spans="1:17">
      <c r="B15" s="239">
        <v>2</v>
      </c>
      <c r="C15" s="238">
        <v>0</v>
      </c>
      <c r="D15" s="238">
        <v>2</v>
      </c>
      <c r="E15" s="238">
        <v>3</v>
      </c>
      <c r="F15" s="238">
        <v>3</v>
      </c>
      <c r="G15" s="238">
        <v>3</v>
      </c>
      <c r="H15" s="238">
        <v>4</v>
      </c>
      <c r="I15" s="238">
        <v>4</v>
      </c>
      <c r="K15" s="248"/>
      <c r="L15" s="248"/>
      <c r="M15" s="248"/>
      <c r="N15" s="248"/>
      <c r="O15" s="248"/>
      <c r="P15" s="248"/>
      <c r="Q15" s="248"/>
    </row>
    <row r="16" spans="1:17">
      <c r="B16" s="239">
        <v>3</v>
      </c>
      <c r="C16" s="238">
        <v>0</v>
      </c>
      <c r="D16" s="238">
        <v>1</v>
      </c>
      <c r="E16" s="238">
        <v>2</v>
      </c>
      <c r="F16" s="238">
        <v>3</v>
      </c>
      <c r="G16" s="238">
        <v>4</v>
      </c>
      <c r="H16" s="238">
        <v>4</v>
      </c>
      <c r="I16" s="238">
        <v>4</v>
      </c>
      <c r="K16" s="248"/>
      <c r="L16" s="248"/>
      <c r="M16" s="248"/>
      <c r="N16" s="248"/>
      <c r="O16" s="248"/>
      <c r="P16" s="248"/>
      <c r="Q16" s="248"/>
    </row>
    <row r="17" spans="1:17">
      <c r="B17" s="239">
        <v>4</v>
      </c>
      <c r="C17" s="238">
        <v>0</v>
      </c>
      <c r="D17" s="238">
        <v>1</v>
      </c>
      <c r="E17" s="238">
        <v>2</v>
      </c>
      <c r="F17" s="238">
        <v>2</v>
      </c>
      <c r="G17" s="238">
        <v>2</v>
      </c>
      <c r="H17" s="238">
        <v>2</v>
      </c>
      <c r="I17" s="238">
        <v>2</v>
      </c>
      <c r="K17" s="248"/>
      <c r="L17" s="248"/>
      <c r="M17" s="248"/>
      <c r="N17" s="248"/>
      <c r="O17" s="248"/>
      <c r="P17" s="248"/>
      <c r="Q17" s="248"/>
    </row>
    <row r="18" spans="1:17">
      <c r="C18" s="27"/>
    </row>
    <row r="19" spans="1:17" ht="25.5">
      <c r="B19" s="193" t="s">
        <v>45</v>
      </c>
      <c r="C19" s="193" t="s">
        <v>46</v>
      </c>
      <c r="D19" s="240" t="s">
        <v>106</v>
      </c>
      <c r="E19" s="240" t="s">
        <v>107</v>
      </c>
    </row>
    <row r="20" spans="1:17">
      <c r="B20" s="194" t="s">
        <v>185</v>
      </c>
      <c r="C20" s="53">
        <v>0</v>
      </c>
      <c r="D20" s="241">
        <v>15</v>
      </c>
      <c r="E20" s="241">
        <v>0</v>
      </c>
    </row>
    <row r="21" spans="1:17">
      <c r="B21" s="194" t="s">
        <v>186</v>
      </c>
      <c r="C21" s="53">
        <v>0.05</v>
      </c>
      <c r="D21" s="241">
        <v>18</v>
      </c>
      <c r="E21" s="241">
        <v>17</v>
      </c>
    </row>
    <row r="22" spans="1:17">
      <c r="B22" s="239">
        <v>1</v>
      </c>
      <c r="C22" s="53">
        <v>0.1</v>
      </c>
      <c r="D22" s="241">
        <v>18</v>
      </c>
      <c r="E22" s="241">
        <v>17</v>
      </c>
    </row>
    <row r="23" spans="1:17">
      <c r="B23" s="239">
        <v>2</v>
      </c>
      <c r="C23" s="53">
        <v>0.1</v>
      </c>
      <c r="D23" s="241">
        <v>18</v>
      </c>
      <c r="E23" s="241">
        <v>17</v>
      </c>
    </row>
    <row r="24" spans="1:17">
      <c r="B24" s="239">
        <v>3</v>
      </c>
      <c r="C24" s="53">
        <v>0.1</v>
      </c>
      <c r="D24" s="241">
        <v>18</v>
      </c>
      <c r="E24" s="241">
        <v>17</v>
      </c>
    </row>
    <row r="25" spans="1:17">
      <c r="B25" s="239">
        <v>4</v>
      </c>
      <c r="C25" s="53">
        <v>0.1</v>
      </c>
      <c r="D25" s="241">
        <v>22</v>
      </c>
      <c r="E25" s="241">
        <v>21</v>
      </c>
    </row>
    <row r="26" spans="1:17">
      <c r="C26" s="27"/>
    </row>
    <row r="27" spans="1:17">
      <c r="B27" s="54"/>
      <c r="C27" s="192" t="s">
        <v>22</v>
      </c>
      <c r="D27" s="192" t="s">
        <v>98</v>
      </c>
      <c r="E27" s="192" t="s">
        <v>99</v>
      </c>
      <c r="F27" s="192" t="s">
        <v>100</v>
      </c>
      <c r="G27" s="192" t="s">
        <v>101</v>
      </c>
      <c r="H27" s="192" t="s">
        <v>102</v>
      </c>
      <c r="I27" s="192" t="s">
        <v>103</v>
      </c>
    </row>
    <row r="28" spans="1:17">
      <c r="B28" s="190" t="s">
        <v>108</v>
      </c>
      <c r="C28" s="242">
        <f>(C12*$D20)+(C13*$D21)+(C14*$D22)+(C15*$D23)+(C16*$D24)+(C17*$D25)</f>
        <v>0</v>
      </c>
      <c r="D28" s="242">
        <f t="shared" ref="D28:I28" si="0">(D12*$D20)+(D13*$D21)+(D14*$D22)+(D15*$D23)+(D16*$D24)+(D17*$D25)</f>
        <v>184</v>
      </c>
      <c r="E28" s="242">
        <f t="shared" si="0"/>
        <v>260</v>
      </c>
      <c r="F28" s="242">
        <f t="shared" si="0"/>
        <v>278</v>
      </c>
      <c r="G28" s="242">
        <f t="shared" si="0"/>
        <v>314</v>
      </c>
      <c r="H28" s="242">
        <f t="shared" si="0"/>
        <v>332</v>
      </c>
      <c r="I28" s="242">
        <f t="shared" si="0"/>
        <v>332</v>
      </c>
    </row>
    <row r="29" spans="1:17">
      <c r="B29" s="190" t="s">
        <v>109</v>
      </c>
      <c r="C29" s="242">
        <f>(C12*$E20)+(C13*$E21)+(C14*$E22)+(C15*$E23)+(C16*$E24)+(C17*$E25)</f>
        <v>0</v>
      </c>
      <c r="D29" s="242">
        <f t="shared" ref="D29:I29" si="1">(D12*$E20)+(D13*$E21)+(D14*$E22)+(D15*$E23)+(D16*$E24)+(D17*$E25)</f>
        <v>174</v>
      </c>
      <c r="E29" s="242">
        <f t="shared" si="1"/>
        <v>246</v>
      </c>
      <c r="F29" s="242">
        <f t="shared" si="1"/>
        <v>263</v>
      </c>
      <c r="G29" s="242">
        <f t="shared" si="1"/>
        <v>297</v>
      </c>
      <c r="H29" s="242">
        <f t="shared" si="1"/>
        <v>314</v>
      </c>
      <c r="I29" s="242">
        <f t="shared" si="1"/>
        <v>314</v>
      </c>
    </row>
    <row r="30" spans="1:17">
      <c r="B30" s="190" t="s">
        <v>110</v>
      </c>
      <c r="C30" s="242">
        <f>ROUNDDOWN(C12*$C20*$E20,0)+ROUNDDOWN(C13*$C21*$E21,0)+ROUNDDOWN(C14*$C22*$E22,0)+ROUNDDOWN(C15*$C23*$E23,0)+ROUNDDOWN(C16*$C24*$E24,0)+ROUNDDOWN(C17*$C25*$E25,0)</f>
        <v>0</v>
      </c>
      <c r="D30" s="242">
        <f t="shared" ref="D30:I30" si="2">ROUNDDOWN(D12*$C20*$E20,0)+ROUNDDOWN(D13*$C21*$E21,0)+ROUNDDOWN(D14*$C22*$E22,0)+ROUNDDOWN(D15*$C23*$E23,0)+ROUNDDOWN(D16*$C24*$E24,0)+ROUNDDOWN(D17*$C25*$E25,0)</f>
        <v>13</v>
      </c>
      <c r="E30" s="242">
        <f t="shared" si="2"/>
        <v>20</v>
      </c>
      <c r="F30" s="242">
        <f t="shared" si="2"/>
        <v>22</v>
      </c>
      <c r="G30" s="242">
        <f t="shared" si="2"/>
        <v>24</v>
      </c>
      <c r="H30" s="242">
        <f t="shared" si="2"/>
        <v>25</v>
      </c>
      <c r="I30" s="242">
        <f t="shared" si="2"/>
        <v>25</v>
      </c>
    </row>
    <row r="31" spans="1:17">
      <c r="B31" s="86"/>
      <c r="C31" s="243"/>
      <c r="D31" s="243"/>
      <c r="E31" s="243"/>
      <c r="F31" s="243"/>
      <c r="G31" s="243"/>
      <c r="H31" s="86"/>
      <c r="I31" s="86"/>
    </row>
    <row r="32" spans="1:17">
      <c r="A32" s="26" t="s">
        <v>193</v>
      </c>
      <c r="B32" s="86"/>
      <c r="C32" s="86"/>
      <c r="D32" s="86"/>
      <c r="E32" s="86"/>
      <c r="F32" s="86"/>
      <c r="G32" s="86"/>
      <c r="H32" s="86"/>
      <c r="I32" s="86"/>
    </row>
    <row r="33" spans="1:9">
      <c r="B33" s="86"/>
      <c r="C33" s="192" t="s">
        <v>185</v>
      </c>
      <c r="D33" s="192" t="s">
        <v>187</v>
      </c>
      <c r="E33" s="192" t="s">
        <v>188</v>
      </c>
      <c r="F33" s="192" t="s">
        <v>189</v>
      </c>
      <c r="G33" s="192" t="s">
        <v>190</v>
      </c>
      <c r="H33" s="192" t="s">
        <v>191</v>
      </c>
    </row>
    <row r="34" spans="1:9">
      <c r="B34" s="190" t="s">
        <v>192</v>
      </c>
      <c r="C34" s="238">
        <v>0</v>
      </c>
      <c r="D34" s="238">
        <v>90</v>
      </c>
      <c r="E34" s="238">
        <v>90</v>
      </c>
      <c r="F34" s="238">
        <v>60</v>
      </c>
      <c r="G34" s="238">
        <v>45</v>
      </c>
      <c r="H34" s="238">
        <v>30</v>
      </c>
      <c r="I34" s="86"/>
    </row>
    <row r="35" spans="1:9">
      <c r="B35" s="190" t="s">
        <v>31</v>
      </c>
      <c r="C35" s="238">
        <v>0</v>
      </c>
      <c r="D35" s="238">
        <v>45</v>
      </c>
      <c r="E35" s="238">
        <v>60</v>
      </c>
      <c r="F35" s="238">
        <v>60</v>
      </c>
      <c r="G35" s="238">
        <v>60</v>
      </c>
      <c r="H35" s="238">
        <v>60</v>
      </c>
      <c r="I35" s="86"/>
    </row>
    <row r="36" spans="1:9">
      <c r="B36" s="190" t="s">
        <v>32</v>
      </c>
      <c r="C36" s="238">
        <v>150</v>
      </c>
      <c r="D36" s="238">
        <v>150</v>
      </c>
      <c r="E36" s="238">
        <v>150</v>
      </c>
      <c r="F36" s="238">
        <v>150</v>
      </c>
      <c r="G36" s="238">
        <v>150</v>
      </c>
      <c r="H36" s="238">
        <v>150</v>
      </c>
      <c r="I36" s="86"/>
    </row>
    <row r="37" spans="1:9">
      <c r="B37" s="190" t="s">
        <v>33</v>
      </c>
      <c r="C37" s="238">
        <v>45</v>
      </c>
      <c r="D37" s="238">
        <v>45</v>
      </c>
      <c r="E37" s="238">
        <v>45</v>
      </c>
      <c r="F37" s="238">
        <v>45</v>
      </c>
      <c r="G37" s="238">
        <v>45</v>
      </c>
      <c r="H37" s="238">
        <v>45</v>
      </c>
      <c r="I37" s="86"/>
    </row>
    <row r="38" spans="1:9">
      <c r="B38" s="190" t="s">
        <v>34</v>
      </c>
      <c r="C38" s="238">
        <v>45</v>
      </c>
      <c r="D38" s="238">
        <v>45</v>
      </c>
      <c r="E38" s="238">
        <v>45</v>
      </c>
      <c r="F38" s="238">
        <v>45</v>
      </c>
      <c r="G38" s="238">
        <v>45</v>
      </c>
      <c r="H38" s="238">
        <v>45</v>
      </c>
      <c r="I38" s="86"/>
    </row>
    <row r="39" spans="1:9">
      <c r="B39" s="86"/>
      <c r="C39" s="86"/>
      <c r="D39" s="86"/>
      <c r="E39" s="86"/>
      <c r="F39" s="86"/>
      <c r="G39" s="86"/>
      <c r="H39" s="86"/>
      <c r="I39" s="86"/>
    </row>
    <row r="40" spans="1:9">
      <c r="B40" s="87" t="s">
        <v>197</v>
      </c>
      <c r="C40" s="87"/>
      <c r="D40" s="87"/>
      <c r="E40" s="87"/>
      <c r="F40" s="87"/>
      <c r="G40" s="86"/>
      <c r="H40" s="86"/>
      <c r="I40" s="86"/>
    </row>
    <row r="41" spans="1:9">
      <c r="B41" s="238">
        <v>1370</v>
      </c>
      <c r="C41" s="87" t="s">
        <v>198</v>
      </c>
      <c r="D41" s="86"/>
      <c r="E41" s="86"/>
      <c r="F41" s="86"/>
      <c r="G41" s="86"/>
      <c r="H41" s="86"/>
      <c r="I41" s="86"/>
    </row>
    <row r="42" spans="1:9">
      <c r="B42" s="86"/>
      <c r="C42" s="86"/>
      <c r="D42" s="86"/>
      <c r="E42" s="86"/>
      <c r="F42" s="86"/>
      <c r="G42" s="86"/>
      <c r="H42" s="86"/>
      <c r="I42" s="86"/>
    </row>
    <row r="43" spans="1:9">
      <c r="A43" s="26" t="s">
        <v>195</v>
      </c>
      <c r="B43" s="86"/>
      <c r="C43" s="86"/>
      <c r="D43" s="86"/>
      <c r="E43" s="86"/>
      <c r="F43" s="86"/>
      <c r="G43" s="86"/>
      <c r="H43" s="86"/>
      <c r="I43" s="86"/>
    </row>
    <row r="44" spans="1:9">
      <c r="B44" s="86"/>
      <c r="C44" s="192" t="s">
        <v>185</v>
      </c>
      <c r="D44" s="192" t="s">
        <v>187</v>
      </c>
      <c r="E44" s="192" t="s">
        <v>188</v>
      </c>
      <c r="F44" s="192" t="s">
        <v>189</v>
      </c>
      <c r="G44" s="192" t="s">
        <v>190</v>
      </c>
      <c r="H44" s="192" t="s">
        <v>191</v>
      </c>
      <c r="I44" s="86"/>
    </row>
    <row r="45" spans="1:9">
      <c r="B45" s="190" t="s">
        <v>194</v>
      </c>
      <c r="C45" s="238">
        <v>0.5</v>
      </c>
      <c r="D45" s="238">
        <v>0.25</v>
      </c>
      <c r="E45" s="238">
        <v>0.25</v>
      </c>
      <c r="F45" s="238">
        <v>0.2</v>
      </c>
      <c r="G45" s="238">
        <v>0.2</v>
      </c>
      <c r="H45" s="238">
        <v>0.2</v>
      </c>
      <c r="I45" s="86"/>
    </row>
    <row r="46" spans="1:9">
      <c r="B46" s="86"/>
      <c r="C46" s="86"/>
      <c r="D46" s="86"/>
      <c r="E46" s="86"/>
      <c r="F46" s="86"/>
      <c r="G46" s="86"/>
      <c r="H46" s="86"/>
      <c r="I46" s="86"/>
    </row>
    <row r="47" spans="1:9">
      <c r="B47" s="86"/>
      <c r="C47" s="27"/>
    </row>
    <row r="48" spans="1:9" ht="15" customHeight="1">
      <c r="A48" s="417" t="s">
        <v>45</v>
      </c>
      <c r="B48" s="417"/>
      <c r="C48" s="192" t="s">
        <v>22</v>
      </c>
      <c r="D48" s="192" t="s">
        <v>98</v>
      </c>
      <c r="E48" s="192" t="s">
        <v>99</v>
      </c>
      <c r="F48" s="192" t="s">
        <v>100</v>
      </c>
      <c r="G48" s="192" t="s">
        <v>101</v>
      </c>
      <c r="H48" s="192" t="s">
        <v>102</v>
      </c>
      <c r="I48" s="192" t="s">
        <v>103</v>
      </c>
    </row>
    <row r="49" spans="1:9" ht="15" customHeight="1">
      <c r="A49" s="408" t="s">
        <v>114</v>
      </c>
      <c r="B49" s="408"/>
      <c r="C49" s="244">
        <f t="shared" ref="C49:I49" si="3">SUM(C12:C17)</f>
        <v>0</v>
      </c>
      <c r="D49" s="244">
        <f t="shared" si="3"/>
        <v>10</v>
      </c>
      <c r="E49" s="244">
        <f t="shared" si="3"/>
        <v>14</v>
      </c>
      <c r="F49" s="244">
        <f t="shared" si="3"/>
        <v>15</v>
      </c>
      <c r="G49" s="244">
        <f t="shared" si="3"/>
        <v>17</v>
      </c>
      <c r="H49" s="244">
        <f t="shared" si="3"/>
        <v>18</v>
      </c>
      <c r="I49" s="244">
        <f t="shared" si="3"/>
        <v>18</v>
      </c>
    </row>
    <row r="50" spans="1:9">
      <c r="A50" s="408" t="s">
        <v>196</v>
      </c>
      <c r="B50" s="408"/>
      <c r="C50" s="244">
        <f>ROUNDUP(((C$12*$C$34)+(C$13*$D$34)+(C$14*$E$34)+(C$15*$F$34)+(C$16*$G$34)+(C$17*$H$34))/$B$41,1)</f>
        <v>0</v>
      </c>
      <c r="D50" s="244">
        <f t="shared" ref="D50:I50" si="4">ROUNDUP(((D$12*$C$34)+(D$13*$D$34)+(D$14*$E$34)+(D$15*$F$34)+(D$16*$G$34)+(D$17*$H$34))/$B$41,1)</f>
        <v>0.6</v>
      </c>
      <c r="E50" s="244">
        <f t="shared" si="4"/>
        <v>0.79999999999999993</v>
      </c>
      <c r="F50" s="244">
        <f t="shared" si="4"/>
        <v>0.79999999999999993</v>
      </c>
      <c r="G50" s="244">
        <f t="shared" si="4"/>
        <v>0.9</v>
      </c>
      <c r="H50" s="244">
        <f t="shared" si="4"/>
        <v>0.9</v>
      </c>
      <c r="I50" s="244">
        <f t="shared" si="4"/>
        <v>0.9</v>
      </c>
    </row>
    <row r="51" spans="1:9">
      <c r="A51" s="408" t="s">
        <v>118</v>
      </c>
      <c r="B51" s="408"/>
      <c r="C51" s="244">
        <f>ROUNDUP(((C$12*$C$35)+(C$13*$D$35)+(C$14*$E$35)+(C$15*$F$35)+(C$16*$G$35)+(C$17*$H$35))/$B$41,1)</f>
        <v>0</v>
      </c>
      <c r="D51" s="244">
        <f t="shared" ref="D51:I51" si="5">ROUNDUP(((D$12*$C$35)+(D$13*$D$35)+(D$14*$E$35)+(D$15*$F$35)+(D$16*$G$35)+(D$17*$H$35))/$B$41,1)</f>
        <v>0.5</v>
      </c>
      <c r="E51" s="244">
        <f t="shared" si="5"/>
        <v>0.6</v>
      </c>
      <c r="F51" s="244">
        <f t="shared" si="5"/>
        <v>0.7</v>
      </c>
      <c r="G51" s="244">
        <f t="shared" si="5"/>
        <v>0.79999999999999993</v>
      </c>
      <c r="H51" s="244">
        <f t="shared" si="5"/>
        <v>0.79999999999999993</v>
      </c>
      <c r="I51" s="244">
        <f t="shared" si="5"/>
        <v>0.79999999999999993</v>
      </c>
    </row>
    <row r="52" spans="1:9">
      <c r="A52" s="408" t="s">
        <v>117</v>
      </c>
      <c r="B52" s="408"/>
      <c r="C52" s="244">
        <f>ROUNDUP(((C$12*$C$36)+(C$13*$D$36)+(C$14*$E$36)+(C$15*$F$36)+(C$16*$G$36)+(C$17*$H$36))/$B$41,1)</f>
        <v>0</v>
      </c>
      <c r="D52" s="244">
        <f t="shared" ref="D52:I52" si="6">ROUNDUP(((D$12*$C$36)+(D$13*$D$36)+(D$14*$E$36)+(D$15*$F$36)+(D$16*$G$36)+(D$17*$H$36))/$B$41,1)</f>
        <v>1.1000000000000001</v>
      </c>
      <c r="E52" s="244">
        <f t="shared" si="6"/>
        <v>1.6</v>
      </c>
      <c r="F52" s="244">
        <f t="shared" si="6"/>
        <v>1.7000000000000002</v>
      </c>
      <c r="G52" s="244">
        <f t="shared" si="6"/>
        <v>1.9000000000000001</v>
      </c>
      <c r="H52" s="244">
        <f t="shared" si="6"/>
        <v>2</v>
      </c>
      <c r="I52" s="244">
        <f t="shared" si="6"/>
        <v>2</v>
      </c>
    </row>
    <row r="53" spans="1:9">
      <c r="A53" s="408" t="s">
        <v>115</v>
      </c>
      <c r="B53" s="408"/>
      <c r="C53" s="244">
        <f>ROUNDUP(((C$12*$C$37)+(C$13*$D$37)+(C$14*$E$37)+(C$15*$F$37)+(C$16*$G$37)+(C$17*$H$37))/$B$41,1)</f>
        <v>0</v>
      </c>
      <c r="D53" s="244">
        <f t="shared" ref="D53:I53" si="7">ROUNDUP(((D$12*$C$37)+(D$13*$D$37)+(D$14*$E$37)+(D$15*$F$37)+(D$16*$G$37)+(D$17*$H$37))/$B$41,1)</f>
        <v>0.4</v>
      </c>
      <c r="E53" s="244">
        <f t="shared" si="7"/>
        <v>0.5</v>
      </c>
      <c r="F53" s="244">
        <f t="shared" si="7"/>
        <v>0.5</v>
      </c>
      <c r="G53" s="244">
        <f t="shared" si="7"/>
        <v>0.6</v>
      </c>
      <c r="H53" s="244">
        <f t="shared" si="7"/>
        <v>0.6</v>
      </c>
      <c r="I53" s="244">
        <f t="shared" si="7"/>
        <v>0.6</v>
      </c>
    </row>
    <row r="54" spans="1:9">
      <c r="A54" s="408" t="s">
        <v>116</v>
      </c>
      <c r="B54" s="408"/>
      <c r="C54" s="244">
        <f>ROUNDUP(((C$12*$C$38)+(C$13*$D$38)+(C$14*$E$38)+(C$15*$F$38)+(C$16*$G$38)+(C$17*$H$38))/$B$41,1)</f>
        <v>0</v>
      </c>
      <c r="D54" s="244">
        <f t="shared" ref="D54:I54" si="8">ROUNDUP(((D$12*$C$38)+(D$13*$D$38)+(D$14*$E$38)+(D$15*$F$38)+(D$16*$G$38)+(D$17*$H$38))/$B$41,1)</f>
        <v>0.4</v>
      </c>
      <c r="E54" s="244">
        <f t="shared" si="8"/>
        <v>0.5</v>
      </c>
      <c r="F54" s="244">
        <f t="shared" si="8"/>
        <v>0.5</v>
      </c>
      <c r="G54" s="244">
        <f t="shared" si="8"/>
        <v>0.6</v>
      </c>
      <c r="H54" s="244">
        <f t="shared" si="8"/>
        <v>0.6</v>
      </c>
      <c r="I54" s="244">
        <f t="shared" si="8"/>
        <v>0.6</v>
      </c>
    </row>
    <row r="55" spans="1:9">
      <c r="A55" s="408" t="s">
        <v>67</v>
      </c>
      <c r="B55" s="408"/>
      <c r="C55" s="238">
        <v>0</v>
      </c>
      <c r="D55" s="238">
        <v>0.4</v>
      </c>
      <c r="E55" s="238">
        <v>0.4</v>
      </c>
      <c r="F55" s="238">
        <v>0.6</v>
      </c>
      <c r="G55" s="238">
        <v>1</v>
      </c>
      <c r="H55" s="238">
        <v>1</v>
      </c>
      <c r="I55" s="238">
        <v>1</v>
      </c>
    </row>
    <row r="56" spans="1:9" ht="13.5" thickBot="1">
      <c r="A56" s="405" t="s">
        <v>119</v>
      </c>
      <c r="B56" s="405"/>
      <c r="C56" s="245">
        <v>0</v>
      </c>
      <c r="D56" s="245">
        <v>0</v>
      </c>
      <c r="E56" s="245">
        <v>0</v>
      </c>
      <c r="F56" s="245">
        <v>0</v>
      </c>
      <c r="G56" s="245">
        <v>0</v>
      </c>
      <c r="H56" s="245">
        <v>0</v>
      </c>
      <c r="I56" s="245">
        <v>0</v>
      </c>
    </row>
    <row r="57" spans="1:9" ht="15" customHeight="1">
      <c r="A57" s="415" t="s">
        <v>120</v>
      </c>
      <c r="B57" s="415"/>
      <c r="C57" s="246">
        <f>SUM(C49:C56)</f>
        <v>0</v>
      </c>
      <c r="D57" s="246">
        <f t="shared" ref="D57:I57" si="9">SUM(D49:D56)</f>
        <v>13.4</v>
      </c>
      <c r="E57" s="246">
        <f t="shared" si="9"/>
        <v>18.399999999999999</v>
      </c>
      <c r="F57" s="246">
        <f t="shared" si="9"/>
        <v>19.8</v>
      </c>
      <c r="G57" s="246">
        <f t="shared" si="9"/>
        <v>22.8</v>
      </c>
      <c r="H57" s="246">
        <f t="shared" si="9"/>
        <v>23.900000000000002</v>
      </c>
      <c r="I57" s="246">
        <f t="shared" si="9"/>
        <v>23.900000000000002</v>
      </c>
    </row>
    <row r="59" spans="1:9" ht="23.25" thickBot="1">
      <c r="A59" s="34" t="s">
        <v>48</v>
      </c>
      <c r="B59" s="35"/>
      <c r="C59" s="35"/>
      <c r="D59" s="35"/>
      <c r="E59" s="35"/>
      <c r="F59" s="35"/>
      <c r="G59" s="35"/>
      <c r="H59" s="35"/>
      <c r="I59" s="35"/>
    </row>
    <row r="60" spans="1:9" ht="22.5">
      <c r="B60" s="25" t="s">
        <v>49</v>
      </c>
    </row>
    <row r="61" spans="1:9">
      <c r="B61" s="401" t="s">
        <v>111</v>
      </c>
      <c r="C61" s="401"/>
      <c r="D61" s="401"/>
      <c r="E61" s="401"/>
      <c r="F61" s="401"/>
      <c r="G61" s="401"/>
      <c r="H61" s="401"/>
      <c r="I61" s="401"/>
    </row>
    <row r="62" spans="1:9">
      <c r="B62" s="54"/>
      <c r="C62" s="192" t="s">
        <v>22</v>
      </c>
      <c r="D62" s="192" t="s">
        <v>98</v>
      </c>
      <c r="E62" s="192" t="s">
        <v>99</v>
      </c>
      <c r="F62" s="192" t="s">
        <v>100</v>
      </c>
      <c r="G62" s="192" t="s">
        <v>101</v>
      </c>
      <c r="H62" s="192" t="s">
        <v>102</v>
      </c>
      <c r="I62" s="192" t="s">
        <v>103</v>
      </c>
    </row>
    <row r="63" spans="1:9">
      <c r="B63" s="190" t="s">
        <v>112</v>
      </c>
      <c r="D63" s="63">
        <f>'PPA-Staff'!D44</f>
        <v>37500</v>
      </c>
      <c r="E63" s="63">
        <f>'PPA-Staff'!E44</f>
        <v>37700</v>
      </c>
      <c r="F63" s="63">
        <f>'PPA-Staff'!F44</f>
        <v>37900</v>
      </c>
      <c r="G63" s="63">
        <f>'PPA-Staff'!G44</f>
        <v>38100</v>
      </c>
      <c r="H63" s="63">
        <f>'PPA-Staff'!H44</f>
        <v>38300</v>
      </c>
      <c r="I63" s="63">
        <f>'PPA-Staff'!I44</f>
        <v>38500</v>
      </c>
    </row>
    <row r="64" spans="1:9">
      <c r="B64" s="190" t="s">
        <v>199</v>
      </c>
      <c r="D64" s="247">
        <v>2</v>
      </c>
      <c r="E64" s="247">
        <v>2</v>
      </c>
      <c r="F64" s="247">
        <v>2</v>
      </c>
      <c r="G64" s="247">
        <v>3</v>
      </c>
      <c r="H64" s="247">
        <v>3</v>
      </c>
      <c r="I64" s="247">
        <v>3</v>
      </c>
    </row>
    <row r="65" spans="2:9">
      <c r="B65" s="190" t="s">
        <v>200</v>
      </c>
      <c r="D65" s="247">
        <v>4</v>
      </c>
      <c r="E65" s="247">
        <f>1+D65</f>
        <v>5</v>
      </c>
      <c r="F65" s="247">
        <f>1+E65</f>
        <v>6</v>
      </c>
      <c r="G65" s="247">
        <f>1+F65</f>
        <v>7</v>
      </c>
      <c r="H65" s="247">
        <f>1+G65</f>
        <v>8</v>
      </c>
      <c r="I65" s="247">
        <f>1+H65</f>
        <v>9</v>
      </c>
    </row>
    <row r="66" spans="2:9">
      <c r="B66" s="190" t="s">
        <v>137</v>
      </c>
      <c r="D66" s="70">
        <v>0.155</v>
      </c>
      <c r="E66" s="70">
        <v>0.155</v>
      </c>
      <c r="F66" s="70">
        <v>0.155</v>
      </c>
      <c r="G66" s="70">
        <v>0.155</v>
      </c>
      <c r="H66" s="70">
        <v>0.155</v>
      </c>
      <c r="I66" s="70">
        <v>0.155</v>
      </c>
    </row>
    <row r="67" spans="2:9">
      <c r="B67" s="190" t="s">
        <v>113</v>
      </c>
      <c r="D67" s="61">
        <f>VLOOKUP('PPAJr-Staff'!D65,'Salary Schedules'!$A$6:$G$27,'PPAJr-Staff'!D64+1)*D63</f>
        <v>38062.499999999993</v>
      </c>
      <c r="E67" s="61">
        <f>VLOOKUP('PPAJr-Staff'!E65,'Salary Schedules'!$A$6:$G$27,'PPAJr-Staff'!E64+1)*E63</f>
        <v>38642.5</v>
      </c>
      <c r="F67" s="61">
        <f>VLOOKUP('PPAJr-Staff'!F65,'Salary Schedules'!$A$6:$G$27,'PPAJr-Staff'!F64+1)*F63</f>
        <v>38847.5</v>
      </c>
      <c r="G67" s="61">
        <f>VLOOKUP('PPAJr-Staff'!G65,'Salary Schedules'!$A$6:$G$27,'PPAJr-Staff'!G64+1)*G63</f>
        <v>40004.999999999993</v>
      </c>
      <c r="H67" s="61">
        <f>VLOOKUP('PPAJr-Staff'!H65,'Salary Schedules'!$A$6:$G$27,'PPAJr-Staff'!H64+1)*H63</f>
        <v>40597.999999999993</v>
      </c>
      <c r="I67" s="61">
        <f>VLOOKUP('PPAJr-Staff'!I65,'Salary Schedules'!$A$6:$G$27,'PPAJr-Staff'!I64+1)*I63</f>
        <v>42349.999999999993</v>
      </c>
    </row>
    <row r="68" spans="2:9" ht="15">
      <c r="B68" s="36"/>
      <c r="C68" s="37"/>
      <c r="D68" s="37"/>
      <c r="E68" s="37"/>
      <c r="F68" s="37"/>
      <c r="G68" s="37"/>
      <c r="H68" s="37"/>
      <c r="I68" s="37"/>
    </row>
    <row r="69" spans="2:9" ht="23.25" thickBot="1">
      <c r="B69" s="40" t="s">
        <v>134</v>
      </c>
      <c r="C69" s="41"/>
      <c r="D69" s="41"/>
      <c r="E69" s="41"/>
      <c r="F69" s="41"/>
      <c r="G69" s="41"/>
      <c r="H69" s="41"/>
      <c r="I69" s="41"/>
    </row>
    <row r="70" spans="2:9">
      <c r="B70" s="401" t="s">
        <v>135</v>
      </c>
      <c r="C70" s="401"/>
      <c r="D70" s="401"/>
      <c r="E70" s="401"/>
      <c r="F70" s="401"/>
      <c r="G70" s="401"/>
      <c r="H70" s="401"/>
      <c r="I70" s="401"/>
    </row>
    <row r="71" spans="2:9">
      <c r="B71" s="54"/>
      <c r="C71" s="192" t="s">
        <v>22</v>
      </c>
      <c r="D71" s="192" t="s">
        <v>98</v>
      </c>
      <c r="E71" s="192" t="s">
        <v>99</v>
      </c>
      <c r="F71" s="192" t="s">
        <v>100</v>
      </c>
      <c r="G71" s="192" t="s">
        <v>101</v>
      </c>
      <c r="H71" s="192" t="s">
        <v>102</v>
      </c>
      <c r="I71" s="192" t="s">
        <v>103</v>
      </c>
    </row>
    <row r="72" spans="2:9">
      <c r="B72" s="190" t="s">
        <v>136</v>
      </c>
      <c r="C72" s="60"/>
      <c r="D72" s="247">
        <v>10</v>
      </c>
      <c r="E72" s="247">
        <v>10</v>
      </c>
      <c r="F72" s="247">
        <v>10</v>
      </c>
      <c r="G72" s="247">
        <v>10</v>
      </c>
      <c r="H72" s="247">
        <v>10</v>
      </c>
      <c r="I72" s="247">
        <v>10</v>
      </c>
    </row>
    <row r="73" spans="2:9">
      <c r="B73" s="190" t="s">
        <v>121</v>
      </c>
      <c r="C73" s="60"/>
      <c r="D73" s="247">
        <v>6</v>
      </c>
      <c r="E73" s="247">
        <v>6</v>
      </c>
      <c r="F73" s="247">
        <v>6</v>
      </c>
      <c r="G73" s="247">
        <v>6</v>
      </c>
      <c r="H73" s="247">
        <v>6</v>
      </c>
      <c r="I73" s="247">
        <v>6</v>
      </c>
    </row>
    <row r="74" spans="2:9">
      <c r="B74" s="190" t="s">
        <v>122</v>
      </c>
      <c r="C74" s="58"/>
      <c r="D74" s="59">
        <v>85</v>
      </c>
      <c r="E74" s="59">
        <v>85</v>
      </c>
      <c r="F74" s="59">
        <v>85</v>
      </c>
      <c r="G74" s="59">
        <v>90</v>
      </c>
      <c r="H74" s="59">
        <v>90</v>
      </c>
      <c r="I74" s="59">
        <v>90</v>
      </c>
    </row>
    <row r="75" spans="2:9">
      <c r="B75" s="190" t="s">
        <v>123</v>
      </c>
      <c r="C75" s="60"/>
      <c r="D75" s="247">
        <v>10</v>
      </c>
      <c r="E75" s="247">
        <v>10</v>
      </c>
      <c r="F75" s="247">
        <v>10</v>
      </c>
      <c r="G75" s="247">
        <v>15</v>
      </c>
      <c r="H75" s="247">
        <v>15</v>
      </c>
      <c r="I75" s="247">
        <v>15</v>
      </c>
    </row>
    <row r="76" spans="2:9">
      <c r="B76" s="190" t="s">
        <v>132</v>
      </c>
      <c r="C76" s="67">
        <f t="shared" ref="C76:I76" si="10">((C57*C72)+C75)*C74</f>
        <v>0</v>
      </c>
      <c r="D76" s="67">
        <f t="shared" si="10"/>
        <v>12240</v>
      </c>
      <c r="E76" s="67">
        <f t="shared" si="10"/>
        <v>16490</v>
      </c>
      <c r="F76" s="67">
        <f t="shared" si="10"/>
        <v>17680</v>
      </c>
      <c r="G76" s="67">
        <f t="shared" si="10"/>
        <v>21870</v>
      </c>
      <c r="H76" s="67">
        <f t="shared" si="10"/>
        <v>22860.000000000004</v>
      </c>
      <c r="I76" s="67">
        <f t="shared" si="10"/>
        <v>22860.000000000004</v>
      </c>
    </row>
    <row r="77" spans="2:9">
      <c r="B77" s="190" t="s">
        <v>162</v>
      </c>
      <c r="C77" s="67">
        <f t="shared" ref="C77:I77" si="11">(C67/194)*(C72-C73)</f>
        <v>0</v>
      </c>
      <c r="D77" s="67">
        <f t="shared" si="11"/>
        <v>784.79381443298951</v>
      </c>
      <c r="E77" s="67">
        <f t="shared" si="11"/>
        <v>796.75257731958766</v>
      </c>
      <c r="F77" s="67">
        <f t="shared" si="11"/>
        <v>800.97938144329896</v>
      </c>
      <c r="G77" s="67">
        <f t="shared" si="11"/>
        <v>824.8453608247421</v>
      </c>
      <c r="H77" s="67">
        <f t="shared" si="11"/>
        <v>837.07216494845341</v>
      </c>
      <c r="I77" s="67">
        <f t="shared" si="11"/>
        <v>873.19587628865963</v>
      </c>
    </row>
    <row r="78" spans="2:9">
      <c r="B78" s="190" t="s">
        <v>133</v>
      </c>
      <c r="C78" s="88">
        <f t="shared" ref="C78:I78" si="12">C77*C57</f>
        <v>0</v>
      </c>
      <c r="D78" s="88">
        <f t="shared" si="12"/>
        <v>10516.23711340206</v>
      </c>
      <c r="E78" s="88">
        <f t="shared" si="12"/>
        <v>14660.247422680412</v>
      </c>
      <c r="F78" s="88">
        <f t="shared" si="12"/>
        <v>15859.391752577319</v>
      </c>
      <c r="G78" s="88">
        <f t="shared" si="12"/>
        <v>18806.474226804119</v>
      </c>
      <c r="H78" s="88">
        <f t="shared" si="12"/>
        <v>20006.024742268037</v>
      </c>
      <c r="I78" s="88">
        <f t="shared" si="12"/>
        <v>20869.381443298967</v>
      </c>
    </row>
    <row r="80" spans="2:9" ht="23.25" thickBot="1">
      <c r="B80" s="40" t="s">
        <v>138</v>
      </c>
      <c r="C80" s="41"/>
      <c r="D80" s="41"/>
      <c r="E80" s="41"/>
      <c r="F80" s="41"/>
      <c r="G80" s="41"/>
      <c r="H80" s="41"/>
      <c r="I80" s="41"/>
    </row>
    <row r="81" spans="1:9">
      <c r="B81" s="54"/>
      <c r="C81" s="192" t="s">
        <v>22</v>
      </c>
      <c r="D81" s="192" t="s">
        <v>98</v>
      </c>
      <c r="E81" s="192" t="s">
        <v>99</v>
      </c>
      <c r="F81" s="192" t="s">
        <v>100</v>
      </c>
      <c r="G81" s="192" t="s">
        <v>101</v>
      </c>
      <c r="H81" s="192" t="s">
        <v>102</v>
      </c>
      <c r="I81" s="192" t="s">
        <v>103</v>
      </c>
    </row>
    <row r="82" spans="1:9">
      <c r="A82" s="72" t="s">
        <v>142</v>
      </c>
      <c r="B82" s="401"/>
      <c r="C82" s="401"/>
      <c r="D82" s="401"/>
      <c r="E82" s="401"/>
      <c r="F82" s="401"/>
      <c r="G82" s="401"/>
      <c r="H82" s="401"/>
      <c r="I82" s="401"/>
    </row>
    <row r="83" spans="1:9" ht="15" customHeight="1">
      <c r="A83" s="400" t="s">
        <v>53</v>
      </c>
      <c r="B83" s="400"/>
      <c r="C83" s="62">
        <v>58000</v>
      </c>
      <c r="D83" s="62">
        <v>60000</v>
      </c>
      <c r="E83" s="62">
        <f>+D83+(D83*((E63-D63)/D63))</f>
        <v>60320</v>
      </c>
      <c r="F83" s="62">
        <f>+E83+(E83*((F63-E63)/E63))</f>
        <v>60640</v>
      </c>
      <c r="G83" s="62">
        <f>+F83+(F83*((G63-F63)/F63))</f>
        <v>60960</v>
      </c>
      <c r="H83" s="62">
        <f>+G83+(G83*((H63-G63)/G63))</f>
        <v>61280</v>
      </c>
      <c r="I83" s="62">
        <f>+H83+(H83*((I63-H63)/H63))</f>
        <v>61600</v>
      </c>
    </row>
    <row r="84" spans="1:9">
      <c r="A84" s="400" t="s">
        <v>139</v>
      </c>
      <c r="B84" s="400"/>
      <c r="C84" s="71">
        <v>0.16666666666666666</v>
      </c>
      <c r="D84" s="71">
        <v>1</v>
      </c>
      <c r="E84" s="71">
        <v>1</v>
      </c>
      <c r="F84" s="71">
        <v>1</v>
      </c>
      <c r="G84" s="71">
        <v>1</v>
      </c>
      <c r="H84" s="71">
        <v>1</v>
      </c>
      <c r="I84" s="71">
        <v>1</v>
      </c>
    </row>
    <row r="85" spans="1:9" ht="6.75" customHeight="1">
      <c r="B85" s="401"/>
      <c r="C85" s="401"/>
      <c r="D85" s="401"/>
      <c r="E85" s="401"/>
      <c r="F85" s="401"/>
      <c r="G85" s="401"/>
      <c r="H85" s="401"/>
      <c r="I85" s="401"/>
    </row>
    <row r="86" spans="1:9">
      <c r="A86" s="400" t="s">
        <v>55</v>
      </c>
      <c r="B86" s="400"/>
      <c r="C86" s="58">
        <f>'Salary Schedules'!E97</f>
        <v>40994.134615384617</v>
      </c>
      <c r="D86" s="58">
        <f>'Salary Schedules'!F97</f>
        <v>41668.269230769234</v>
      </c>
      <c r="E86" s="58">
        <f>'Salary Schedules'!G97</f>
        <v>42557.5</v>
      </c>
      <c r="F86" s="58">
        <f>'Salary Schedules'!H97</f>
        <v>43410.076923076922</v>
      </c>
      <c r="G86" s="58">
        <f>'Salary Schedules'!I97</f>
        <v>44320.557692307695</v>
      </c>
      <c r="H86" s="58">
        <f>'Salary Schedules'!J97</f>
        <v>45267.653846153844</v>
      </c>
      <c r="I86" s="58">
        <f>'Salary Schedules'!K97</f>
        <v>46170.384615384617</v>
      </c>
    </row>
    <row r="87" spans="1:9">
      <c r="A87" s="400" t="s">
        <v>140</v>
      </c>
      <c r="B87" s="400"/>
      <c r="C87" s="71">
        <v>0</v>
      </c>
      <c r="D87" s="71">
        <v>0</v>
      </c>
      <c r="E87" s="71">
        <v>0</v>
      </c>
      <c r="F87" s="71">
        <v>0</v>
      </c>
      <c r="G87" s="71">
        <v>0</v>
      </c>
      <c r="H87" s="71">
        <v>0</v>
      </c>
      <c r="I87" s="71">
        <v>0</v>
      </c>
    </row>
    <row r="88" spans="1:9" ht="6.75" customHeight="1">
      <c r="B88" s="401"/>
      <c r="C88" s="401"/>
      <c r="D88" s="401"/>
      <c r="E88" s="401"/>
      <c r="F88" s="401"/>
      <c r="G88" s="401"/>
      <c r="H88" s="401"/>
      <c r="I88" s="401"/>
    </row>
    <row r="89" spans="1:9">
      <c r="A89" s="72" t="s">
        <v>143</v>
      </c>
      <c r="B89" s="401"/>
      <c r="C89" s="401"/>
      <c r="D89" s="401"/>
      <c r="E89" s="401"/>
      <c r="F89" s="401"/>
      <c r="G89" s="401"/>
      <c r="H89" s="401"/>
      <c r="I89" s="401"/>
    </row>
    <row r="90" spans="1:9">
      <c r="A90" s="400" t="s">
        <v>141</v>
      </c>
      <c r="B90" s="400"/>
      <c r="C90" s="58">
        <f>'PPA-Staff'!C72</f>
        <v>11.63</v>
      </c>
      <c r="D90" s="58">
        <f>'PPA-Staff'!D72</f>
        <v>11.69235924932976</v>
      </c>
      <c r="E90" s="58">
        <f>'PPA-Staff'!E72</f>
        <v>11.754718498659519</v>
      </c>
      <c r="F90" s="58">
        <f>'PPA-Staff'!F72</f>
        <v>11.817077747989279</v>
      </c>
      <c r="G90" s="58">
        <f>'PPA-Staff'!G72</f>
        <v>11.879436997319038</v>
      </c>
      <c r="H90" s="58">
        <f>'PPA-Staff'!H72</f>
        <v>11.941796246648797</v>
      </c>
      <c r="I90" s="58">
        <f>'PPA-Staff'!I72</f>
        <v>12.004155495978557</v>
      </c>
    </row>
    <row r="91" spans="1:9">
      <c r="A91" s="400" t="s">
        <v>165</v>
      </c>
      <c r="B91" s="400"/>
      <c r="C91" s="247">
        <v>0</v>
      </c>
      <c r="D91" s="247">
        <v>0</v>
      </c>
      <c r="E91" s="247">
        <v>0</v>
      </c>
      <c r="F91" s="247">
        <v>0</v>
      </c>
      <c r="G91" s="247">
        <v>0</v>
      </c>
      <c r="H91" s="247">
        <v>0</v>
      </c>
      <c r="I91" s="247">
        <v>0</v>
      </c>
    </row>
    <row r="92" spans="1:9">
      <c r="A92" s="400" t="s">
        <v>166</v>
      </c>
      <c r="B92" s="400"/>
      <c r="C92" s="71">
        <v>0</v>
      </c>
      <c r="D92" s="71">
        <v>0</v>
      </c>
      <c r="E92" s="71">
        <v>0</v>
      </c>
      <c r="F92" s="71">
        <v>0</v>
      </c>
      <c r="G92" s="71">
        <v>0</v>
      </c>
      <c r="H92" s="71">
        <v>0</v>
      </c>
      <c r="I92" s="71">
        <v>0</v>
      </c>
    </row>
    <row r="93" spans="1:9" ht="6.75" customHeight="1">
      <c r="B93" s="401"/>
      <c r="C93" s="401"/>
      <c r="D93" s="401"/>
      <c r="E93" s="401"/>
      <c r="F93" s="401"/>
      <c r="G93" s="401"/>
      <c r="H93" s="401"/>
      <c r="I93" s="401"/>
    </row>
    <row r="94" spans="1:9">
      <c r="A94" s="400" t="s">
        <v>57</v>
      </c>
      <c r="B94" s="400"/>
      <c r="C94" s="58">
        <f>'PPA-Staff'!C76</f>
        <v>11.53</v>
      </c>
      <c r="D94" s="58">
        <f>'PPA-Staff'!D76</f>
        <v>11.591823056300267</v>
      </c>
      <c r="E94" s="58">
        <f>'PPA-Staff'!E76</f>
        <v>11.653646112600535</v>
      </c>
      <c r="F94" s="58">
        <f>'PPA-Staff'!F76</f>
        <v>11.715469168900803</v>
      </c>
      <c r="G94" s="58">
        <f>'PPA-Staff'!G76</f>
        <v>11.777292225201071</v>
      </c>
      <c r="H94" s="58">
        <f>'PPA-Staff'!H76</f>
        <v>11.839115281501339</v>
      </c>
      <c r="I94" s="58">
        <f>'PPA-Staff'!I76</f>
        <v>11.900938337801607</v>
      </c>
    </row>
    <row r="95" spans="1:9">
      <c r="A95" s="400" t="s">
        <v>202</v>
      </c>
      <c r="B95" s="400"/>
      <c r="C95" s="244">
        <f>ROUNDUP(((C$12*$C$45)+(C$13*$D$45)+(C$14*$E$45)+(C$15*$F$45)+(C$16*$G$45)+(C$17*$H$45)),1)</f>
        <v>0</v>
      </c>
      <c r="D95" s="244">
        <f t="shared" ref="D95:I95" si="13">ROUNDUP(((D$12*$C$45)+(D$13*$D$45)+(D$14*$E$45)+(D$15*$F$45)+(D$16*$G$45)+(D$17*$H$45)),1)</f>
        <v>2.2999999999999998</v>
      </c>
      <c r="E95" s="244">
        <f t="shared" si="13"/>
        <v>3.2</v>
      </c>
      <c r="F95" s="244">
        <f t="shared" si="13"/>
        <v>3.4</v>
      </c>
      <c r="G95" s="244">
        <f t="shared" si="13"/>
        <v>3.8</v>
      </c>
      <c r="H95" s="244">
        <f t="shared" si="13"/>
        <v>4</v>
      </c>
      <c r="I95" s="244">
        <f t="shared" si="13"/>
        <v>4</v>
      </c>
    </row>
    <row r="96" spans="1:9">
      <c r="A96" s="400" t="s">
        <v>201</v>
      </c>
      <c r="B96" s="400"/>
      <c r="C96" s="247">
        <v>0</v>
      </c>
      <c r="D96" s="247"/>
      <c r="E96" s="247">
        <v>0</v>
      </c>
      <c r="F96" s="247">
        <v>0</v>
      </c>
      <c r="G96" s="247">
        <v>0</v>
      </c>
      <c r="H96" s="247">
        <v>0</v>
      </c>
      <c r="I96" s="247">
        <v>0</v>
      </c>
    </row>
    <row r="97" spans="1:9">
      <c r="A97" s="400" t="s">
        <v>167</v>
      </c>
      <c r="B97" s="400"/>
      <c r="C97" s="247">
        <v>0</v>
      </c>
      <c r="D97" s="247">
        <v>203</v>
      </c>
      <c r="E97" s="247">
        <v>203</v>
      </c>
      <c r="F97" s="247">
        <v>203</v>
      </c>
      <c r="G97" s="247">
        <v>203</v>
      </c>
      <c r="H97" s="247">
        <v>203</v>
      </c>
      <c r="I97" s="247">
        <v>203</v>
      </c>
    </row>
    <row r="98" spans="1:9">
      <c r="A98" s="400" t="s">
        <v>168</v>
      </c>
      <c r="B98" s="400"/>
      <c r="C98" s="71">
        <v>0</v>
      </c>
      <c r="D98" s="71">
        <v>8</v>
      </c>
      <c r="E98" s="71">
        <v>8</v>
      </c>
      <c r="F98" s="71">
        <v>8</v>
      </c>
      <c r="G98" s="71">
        <v>8</v>
      </c>
      <c r="H98" s="71">
        <v>8</v>
      </c>
      <c r="I98" s="71">
        <v>8</v>
      </c>
    </row>
    <row r="99" spans="1:9" ht="6.75" customHeight="1">
      <c r="B99" s="401"/>
      <c r="C99" s="401"/>
      <c r="D99" s="401"/>
      <c r="E99" s="401"/>
      <c r="F99" s="401"/>
      <c r="G99" s="401"/>
      <c r="H99" s="401"/>
      <c r="I99" s="401"/>
    </row>
    <row r="100" spans="1:9">
      <c r="A100" s="403" t="s">
        <v>178</v>
      </c>
      <c r="B100" s="403"/>
      <c r="C100" s="58">
        <f>'Salary Schedules'!E160</f>
        <v>0</v>
      </c>
      <c r="D100" s="58">
        <f>'Salary Schedules'!F160</f>
        <v>0</v>
      </c>
      <c r="E100" s="58">
        <f>'Salary Schedules'!G160</f>
        <v>0</v>
      </c>
      <c r="F100" s="58">
        <f>'Salary Schedules'!H160</f>
        <v>0</v>
      </c>
      <c r="G100" s="58">
        <f>'Salary Schedules'!I160</f>
        <v>0</v>
      </c>
      <c r="H100" s="58">
        <f>'Salary Schedules'!J160</f>
        <v>0</v>
      </c>
      <c r="I100" s="58">
        <f>'Salary Schedules'!K160</f>
        <v>0</v>
      </c>
    </row>
    <row r="101" spans="1:9">
      <c r="A101" s="403" t="s">
        <v>169</v>
      </c>
      <c r="B101" s="403"/>
      <c r="C101" s="247">
        <v>0</v>
      </c>
      <c r="D101" s="247">
        <v>0</v>
      </c>
      <c r="E101" s="247">
        <v>0</v>
      </c>
      <c r="F101" s="247">
        <v>0</v>
      </c>
      <c r="G101" s="247">
        <v>0</v>
      </c>
      <c r="H101" s="247">
        <v>0</v>
      </c>
      <c r="I101" s="247">
        <v>0</v>
      </c>
    </row>
    <row r="102" spans="1:9">
      <c r="A102" s="403" t="s">
        <v>170</v>
      </c>
      <c r="B102" s="403"/>
      <c r="C102" s="71">
        <v>0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</row>
    <row r="103" spans="1:9" ht="6.75" customHeight="1">
      <c r="B103" s="401"/>
      <c r="C103" s="401"/>
      <c r="D103" s="401"/>
      <c r="E103" s="401"/>
      <c r="F103" s="401"/>
      <c r="G103" s="401"/>
      <c r="H103" s="401"/>
      <c r="I103" s="401"/>
    </row>
    <row r="104" spans="1:9">
      <c r="A104" s="72" t="s">
        <v>155</v>
      </c>
      <c r="B104" s="401"/>
      <c r="C104" s="401"/>
      <c r="D104" s="401"/>
      <c r="E104" s="401"/>
      <c r="F104" s="401"/>
      <c r="G104" s="401"/>
      <c r="H104" s="401"/>
      <c r="I104" s="401"/>
    </row>
    <row r="105" spans="1:9">
      <c r="A105" s="400" t="s">
        <v>158</v>
      </c>
      <c r="B105" s="400"/>
      <c r="C105" s="58">
        <f>C94</f>
        <v>11.53</v>
      </c>
      <c r="D105" s="58">
        <f t="shared" ref="D105:I105" si="14">D94</f>
        <v>11.591823056300267</v>
      </c>
      <c r="E105" s="58">
        <f t="shared" si="14"/>
        <v>11.653646112600535</v>
      </c>
      <c r="F105" s="58">
        <f t="shared" si="14"/>
        <v>11.715469168900803</v>
      </c>
      <c r="G105" s="58">
        <f t="shared" si="14"/>
        <v>11.777292225201071</v>
      </c>
      <c r="H105" s="58">
        <f t="shared" si="14"/>
        <v>11.839115281501339</v>
      </c>
      <c r="I105" s="58">
        <f t="shared" si="14"/>
        <v>11.900938337801607</v>
      </c>
    </row>
    <row r="106" spans="1:9">
      <c r="A106" s="400" t="s">
        <v>157</v>
      </c>
      <c r="B106" s="400"/>
      <c r="C106" s="71">
        <v>0</v>
      </c>
      <c r="D106" s="71">
        <v>50</v>
      </c>
      <c r="E106" s="71">
        <v>50</v>
      </c>
      <c r="F106" s="71">
        <v>50</v>
      </c>
      <c r="G106" s="71">
        <v>50</v>
      </c>
      <c r="H106" s="71">
        <v>50</v>
      </c>
      <c r="I106" s="71">
        <v>50</v>
      </c>
    </row>
    <row r="107" spans="1:9" s="39" customFormat="1" ht="15">
      <c r="B107" s="43"/>
      <c r="C107" s="38"/>
      <c r="D107" s="38"/>
      <c r="E107" s="38"/>
      <c r="F107" s="38"/>
      <c r="G107" s="38"/>
      <c r="H107" s="38"/>
      <c r="I107" s="38"/>
    </row>
    <row r="108" spans="1:9" ht="23.25" thickBot="1">
      <c r="B108" s="40" t="s">
        <v>58</v>
      </c>
      <c r="C108" s="41"/>
      <c r="D108" s="41"/>
      <c r="E108" s="41"/>
      <c r="F108" s="41"/>
      <c r="G108" s="41"/>
      <c r="H108" s="41"/>
      <c r="I108" s="41"/>
    </row>
    <row r="109" spans="1:9" ht="32.25" customHeight="1">
      <c r="B109" s="401" t="s">
        <v>59</v>
      </c>
      <c r="C109" s="401"/>
      <c r="D109" s="401"/>
      <c r="E109" s="401"/>
      <c r="F109" s="401"/>
      <c r="G109" s="401"/>
      <c r="H109" s="401"/>
      <c r="I109" s="401"/>
    </row>
    <row r="110" spans="1:9">
      <c r="C110" s="192" t="s">
        <v>22</v>
      </c>
      <c r="D110" s="192" t="s">
        <v>98</v>
      </c>
      <c r="E110" s="192" t="s">
        <v>99</v>
      </c>
      <c r="F110" s="192" t="s">
        <v>100</v>
      </c>
      <c r="G110" s="192" t="s">
        <v>101</v>
      </c>
      <c r="H110" s="192" t="s">
        <v>102</v>
      </c>
      <c r="I110" s="192" t="s">
        <v>103</v>
      </c>
    </row>
    <row r="111" spans="1:9">
      <c r="B111" s="190" t="s">
        <v>159</v>
      </c>
      <c r="C111" s="73">
        <f>SharedStaff!C70</f>
        <v>2.35E-2</v>
      </c>
      <c r="D111" s="73">
        <f>SharedStaff!D70</f>
        <v>2.35E-2</v>
      </c>
      <c r="E111" s="73">
        <f>SharedStaff!E70</f>
        <v>2.35E-2</v>
      </c>
      <c r="F111" s="73">
        <f>SharedStaff!F70</f>
        <v>2.35E-2</v>
      </c>
      <c r="G111" s="73">
        <f>SharedStaff!G70</f>
        <v>2.35E-2</v>
      </c>
      <c r="H111" s="73">
        <f>SharedStaff!H70</f>
        <v>2.35E-2</v>
      </c>
      <c r="I111" s="73">
        <f>SharedStaff!I70</f>
        <v>2.35E-2</v>
      </c>
    </row>
    <row r="112" spans="1:9">
      <c r="B112" s="190" t="s">
        <v>175</v>
      </c>
      <c r="C112" s="73">
        <f>SharedStaff!C71</f>
        <v>7.6499999999999999E-2</v>
      </c>
      <c r="D112" s="73">
        <f>SharedStaff!D71</f>
        <v>7.6499999999999999E-2</v>
      </c>
      <c r="E112" s="73">
        <f>SharedStaff!E71</f>
        <v>7.6499999999999999E-2</v>
      </c>
      <c r="F112" s="73">
        <f>SharedStaff!F71</f>
        <v>7.6499999999999999E-2</v>
      </c>
      <c r="G112" s="73">
        <f>SharedStaff!G71</f>
        <v>7.6499999999999999E-2</v>
      </c>
      <c r="H112" s="73">
        <f>SharedStaff!H71</f>
        <v>7.6499999999999999E-2</v>
      </c>
      <c r="I112" s="73">
        <f>SharedStaff!I71</f>
        <v>7.6499999999999999E-2</v>
      </c>
    </row>
    <row r="113" spans="1:18">
      <c r="B113" s="190" t="s">
        <v>60</v>
      </c>
      <c r="C113" s="73">
        <f>SharedStaff!C72</f>
        <v>5.3E-3</v>
      </c>
      <c r="D113" s="73">
        <f>SharedStaff!D72</f>
        <v>5.3E-3</v>
      </c>
      <c r="E113" s="73">
        <f>SharedStaff!E72</f>
        <v>5.3E-3</v>
      </c>
      <c r="F113" s="73">
        <f>SharedStaff!F72</f>
        <v>5.3E-3</v>
      </c>
      <c r="G113" s="73">
        <f>SharedStaff!G72</f>
        <v>5.3E-3</v>
      </c>
      <c r="H113" s="73">
        <f>SharedStaff!H72</f>
        <v>5.3E-3</v>
      </c>
      <c r="I113" s="73">
        <f>SharedStaff!I72</f>
        <v>5.3E-3</v>
      </c>
    </row>
    <row r="114" spans="1:18">
      <c r="B114" s="190" t="s">
        <v>61</v>
      </c>
      <c r="C114" s="73">
        <f>SharedStaff!C73</f>
        <v>4.4900000000000002E-2</v>
      </c>
      <c r="D114" s="73">
        <f>SharedStaff!D73</f>
        <v>4.4900000000000002E-2</v>
      </c>
      <c r="E114" s="73">
        <f>SharedStaff!E73</f>
        <v>4.4900000000000002E-2</v>
      </c>
      <c r="F114" s="73">
        <f>SharedStaff!F73</f>
        <v>4.4900000000000002E-2</v>
      </c>
      <c r="G114" s="73">
        <f>SharedStaff!G73</f>
        <v>4.4900000000000002E-2</v>
      </c>
      <c r="H114" s="73">
        <f>SharedStaff!H73</f>
        <v>4.4900000000000002E-2</v>
      </c>
      <c r="I114" s="73">
        <f>SharedStaff!I73</f>
        <v>4.4900000000000002E-2</v>
      </c>
    </row>
    <row r="115" spans="1:18" ht="6" customHeight="1">
      <c r="C115" s="39"/>
      <c r="D115" s="39"/>
      <c r="E115" s="39"/>
      <c r="F115" s="39"/>
      <c r="G115" s="39"/>
      <c r="H115" s="39"/>
      <c r="I115" s="39"/>
    </row>
    <row r="116" spans="1:18">
      <c r="B116" s="190" t="s">
        <v>62</v>
      </c>
      <c r="C116" s="73">
        <f>SharedStaff!C75</f>
        <v>5.3999999999999999E-2</v>
      </c>
      <c r="D116" s="73">
        <f>SharedStaff!D75</f>
        <v>5.3999999999999999E-2</v>
      </c>
      <c r="E116" s="73">
        <f>SharedStaff!E75</f>
        <v>5.3999999999999999E-2</v>
      </c>
      <c r="F116" s="73">
        <f>SharedStaff!F75</f>
        <v>5.3999999999999999E-2</v>
      </c>
      <c r="G116" s="73">
        <f>SharedStaff!G75</f>
        <v>5.3999999999999999E-2</v>
      </c>
      <c r="H116" s="73">
        <f>SharedStaff!H75</f>
        <v>5.3999999999999999E-2</v>
      </c>
      <c r="I116" s="73">
        <f>SharedStaff!I75</f>
        <v>5.3999999999999999E-2</v>
      </c>
    </row>
    <row r="117" spans="1:18">
      <c r="B117" s="190" t="s">
        <v>160</v>
      </c>
      <c r="C117" s="135">
        <f>SharedStaff!C76</f>
        <v>7000</v>
      </c>
      <c r="D117" s="135">
        <f>SharedStaff!D76</f>
        <v>8000</v>
      </c>
      <c r="E117" s="135">
        <f>SharedStaff!E76</f>
        <v>8000</v>
      </c>
      <c r="F117" s="135">
        <f>SharedStaff!F76</f>
        <v>7500</v>
      </c>
      <c r="G117" s="135">
        <f>SharedStaff!G76</f>
        <v>7000</v>
      </c>
      <c r="H117" s="135">
        <f>SharedStaff!H76</f>
        <v>6500</v>
      </c>
      <c r="I117" s="135">
        <f>SharedStaff!I76</f>
        <v>6000</v>
      </c>
    </row>
    <row r="119" spans="1:18" ht="23.25" thickBot="1">
      <c r="B119" s="40" t="s">
        <v>64</v>
      </c>
      <c r="C119" s="41"/>
      <c r="D119" s="41"/>
      <c r="E119" s="41"/>
      <c r="F119" s="41"/>
      <c r="G119" s="41"/>
      <c r="H119" s="41"/>
      <c r="I119" s="41"/>
    </row>
    <row r="121" spans="1:18">
      <c r="C121" s="192" t="s">
        <v>22</v>
      </c>
      <c r="D121" s="192" t="s">
        <v>98</v>
      </c>
      <c r="E121" s="192" t="s">
        <v>99</v>
      </c>
      <c r="F121" s="192" t="s">
        <v>100</v>
      </c>
      <c r="G121" s="192" t="s">
        <v>101</v>
      </c>
      <c r="H121" s="192" t="s">
        <v>102</v>
      </c>
      <c r="I121" s="192" t="s">
        <v>103</v>
      </c>
      <c r="J121" s="44"/>
      <c r="M121" s="45"/>
      <c r="N121" s="46"/>
      <c r="O121" s="45"/>
      <c r="P121" s="45"/>
      <c r="Q121" s="45"/>
      <c r="R121" s="45"/>
    </row>
    <row r="122" spans="1:18">
      <c r="A122" s="72" t="s">
        <v>161</v>
      </c>
      <c r="J122" s="44"/>
      <c r="M122" s="45"/>
      <c r="N122" s="46"/>
      <c r="O122" s="45"/>
      <c r="P122" s="45"/>
      <c r="Q122" s="45"/>
      <c r="R122" s="45"/>
    </row>
    <row r="123" spans="1:18" ht="15">
      <c r="A123" s="30"/>
      <c r="B123" s="31" t="s">
        <v>29</v>
      </c>
      <c r="C123" s="82">
        <f>(C49*(C67+C77))</f>
        <v>0</v>
      </c>
      <c r="D123" s="32">
        <f t="shared" ref="D123:I123" si="15">(D49*(D67+D77))</f>
        <v>388472.93814432982</v>
      </c>
      <c r="E123" s="32">
        <f t="shared" si="15"/>
        <v>552149.53608247428</v>
      </c>
      <c r="F123" s="32">
        <f t="shared" si="15"/>
        <v>594727.19072164944</v>
      </c>
      <c r="G123" s="32">
        <f t="shared" si="15"/>
        <v>694107.3711340205</v>
      </c>
      <c r="H123" s="32">
        <f t="shared" si="15"/>
        <v>745831.29896907206</v>
      </c>
      <c r="I123" s="32">
        <f t="shared" si="15"/>
        <v>778017.52577319567</v>
      </c>
      <c r="K123" s="33"/>
      <c r="L123" s="33"/>
      <c r="M123" s="33"/>
      <c r="N123" s="33"/>
      <c r="O123" s="33"/>
      <c r="P123" s="33"/>
      <c r="Q123" s="33"/>
      <c r="R123" s="33"/>
    </row>
    <row r="124" spans="1:18" ht="15">
      <c r="A124" s="30"/>
      <c r="B124" s="31" t="s">
        <v>30</v>
      </c>
      <c r="C124" s="79">
        <f>SUM(C50:C54,C56)*(C67+C77)</f>
        <v>0</v>
      </c>
      <c r="D124" s="32">
        <f t="shared" ref="D124:I124" si="16">SUM(D50:D54,D56)*(D67+D77)</f>
        <v>116541.88144329895</v>
      </c>
      <c r="E124" s="32">
        <f t="shared" si="16"/>
        <v>157757.01030927835</v>
      </c>
      <c r="F124" s="32">
        <f t="shared" si="16"/>
        <v>166523.61340206186</v>
      </c>
      <c r="G124" s="32">
        <f t="shared" si="16"/>
        <v>195983.25773195873</v>
      </c>
      <c r="H124" s="32">
        <f t="shared" si="16"/>
        <v>203031.85360824736</v>
      </c>
      <c r="I124" s="32">
        <f t="shared" si="16"/>
        <v>211793.65979381435</v>
      </c>
      <c r="K124" s="33"/>
    </row>
    <row r="125" spans="1:18" ht="15">
      <c r="A125" s="30"/>
      <c r="B125" s="31" t="s">
        <v>68</v>
      </c>
      <c r="C125" s="32">
        <f>C94*C97*C98*(C95+C96)</f>
        <v>0</v>
      </c>
      <c r="D125" s="32">
        <f t="shared" ref="D125:I125" si="17">D94*D97*D98*(D95+D96)</f>
        <v>43297.777479892757</v>
      </c>
      <c r="E125" s="32">
        <f t="shared" si="17"/>
        <v>60561.668117962465</v>
      </c>
      <c r="F125" s="32">
        <f t="shared" si="17"/>
        <v>64688.134563002677</v>
      </c>
      <c r="G125" s="32">
        <f t="shared" si="17"/>
        <v>72680.025780160839</v>
      </c>
      <c r="H125" s="32">
        <f t="shared" si="17"/>
        <v>76906.892868632698</v>
      </c>
      <c r="I125" s="32">
        <f t="shared" si="17"/>
        <v>77308.495442359243</v>
      </c>
      <c r="K125" s="33"/>
      <c r="M125" s="33"/>
    </row>
    <row r="126" spans="1:18" ht="15">
      <c r="A126" s="30"/>
      <c r="B126" s="31" t="s">
        <v>175</v>
      </c>
      <c r="C126" s="32">
        <f>SUM(C123:C125)*C$112</f>
        <v>0</v>
      </c>
      <c r="D126" s="32">
        <f t="shared" ref="D126:I126" si="18">SUM(D123:D125)*D$112</f>
        <v>41945.913675665397</v>
      </c>
      <c r="E126" s="32">
        <f t="shared" si="18"/>
        <v>58940.818409993204</v>
      </c>
      <c r="F126" s="32">
        <f t="shared" si="18"/>
        <v>63184.328809533625</v>
      </c>
      <c r="G126" s="32">
        <f t="shared" si="18"/>
        <v>73651.955080429718</v>
      </c>
      <c r="H126" s="32">
        <f t="shared" si="18"/>
        <v>78471.408476615339</v>
      </c>
      <c r="I126" s="32">
        <f t="shared" si="18"/>
        <v>81634.655597216741</v>
      </c>
      <c r="K126" s="33"/>
      <c r="M126" s="33"/>
    </row>
    <row r="127" spans="1:18" ht="15">
      <c r="A127" s="30"/>
      <c r="B127" s="31" t="s">
        <v>66</v>
      </c>
      <c r="C127" s="32">
        <f>SUM(C123:C125)*C$113</f>
        <v>0</v>
      </c>
      <c r="D127" s="32">
        <f t="shared" ref="D127:I127" si="19">SUM(D123:D125)*D$113</f>
        <v>2906.0567644578641</v>
      </c>
      <c r="E127" s="32">
        <f t="shared" si="19"/>
        <v>4083.48153690149</v>
      </c>
      <c r="F127" s="32">
        <f t="shared" si="19"/>
        <v>4377.4763750395841</v>
      </c>
      <c r="G127" s="32">
        <f t="shared" si="19"/>
        <v>5102.6844696245425</v>
      </c>
      <c r="H127" s="32">
        <f t="shared" si="19"/>
        <v>5436.5812408635466</v>
      </c>
      <c r="I127" s="32">
        <f t="shared" si="19"/>
        <v>5655.7343093496565</v>
      </c>
      <c r="K127" s="33"/>
      <c r="M127" s="33"/>
    </row>
    <row r="128" spans="1:18" ht="15">
      <c r="A128" s="30"/>
      <c r="B128" s="31" t="s">
        <v>176</v>
      </c>
      <c r="C128" s="32">
        <f>(ROUNDUP(C49,0)+ROUNDUP(C50,0)+ROUNDUP(C51,0)+ROUNDUP(C52,0)+ROUNDUP(C53,0)+ROUNDUP(C54,0)+ROUNDUP(C56,0))*C117*C116</f>
        <v>0</v>
      </c>
      <c r="D128" s="32">
        <f t="shared" ref="D128:I128" si="20">(ROUNDUP(D49,0)+ROUNDUP(D50,0)+ROUNDUP(D51,0)+ROUNDUP(D52,0)+ROUNDUP(D53,0)+ROUNDUP(D54,0)+ROUNDUP(D56,0))*D117*D116</f>
        <v>6912</v>
      </c>
      <c r="E128" s="32">
        <f t="shared" si="20"/>
        <v>8640</v>
      </c>
      <c r="F128" s="32">
        <f t="shared" si="20"/>
        <v>8505</v>
      </c>
      <c r="G128" s="32">
        <f t="shared" si="20"/>
        <v>8694</v>
      </c>
      <c r="H128" s="32">
        <f t="shared" si="20"/>
        <v>8424</v>
      </c>
      <c r="I128" s="32">
        <f t="shared" si="20"/>
        <v>7776</v>
      </c>
      <c r="K128" s="33"/>
      <c r="M128" s="33"/>
    </row>
    <row r="129" spans="1:18" ht="15">
      <c r="A129" s="30"/>
      <c r="B129" s="31" t="s">
        <v>52</v>
      </c>
      <c r="C129" s="32">
        <f>SUM(C123:C125)*C$66</f>
        <v>0</v>
      </c>
      <c r="D129" s="32">
        <f t="shared" ref="D129:I129" si="21">SUM(D123:D125)*D$66</f>
        <v>84988.452545465843</v>
      </c>
      <c r="E129" s="32">
        <f t="shared" si="21"/>
        <v>119422.57324900584</v>
      </c>
      <c r="F129" s="32">
        <f t="shared" si="21"/>
        <v>128020.53549644067</v>
      </c>
      <c r="G129" s="32">
        <f t="shared" si="21"/>
        <v>149229.45147015172</v>
      </c>
      <c r="H129" s="32">
        <f t="shared" si="21"/>
        <v>158994.35704412256</v>
      </c>
      <c r="I129" s="32">
        <f t="shared" si="21"/>
        <v>165403.55055645222</v>
      </c>
      <c r="K129" s="33"/>
      <c r="M129" s="33"/>
    </row>
    <row r="130" spans="1:18" ht="6" customHeight="1"/>
    <row r="131" spans="1:18">
      <c r="A131" s="72" t="s">
        <v>163</v>
      </c>
      <c r="J131" s="44"/>
      <c r="M131" s="45"/>
      <c r="N131" s="46"/>
      <c r="O131" s="45"/>
      <c r="P131" s="45"/>
      <c r="Q131" s="45"/>
      <c r="R131" s="45"/>
    </row>
    <row r="132" spans="1:18" ht="15">
      <c r="A132" s="30"/>
      <c r="B132" s="31" t="s">
        <v>67</v>
      </c>
      <c r="C132" s="79">
        <f t="shared" ref="C132:I132" si="22">SUM(C55)*(C67+C77)</f>
        <v>0</v>
      </c>
      <c r="D132" s="79">
        <f t="shared" si="22"/>
        <v>15538.917525773193</v>
      </c>
      <c r="E132" s="79">
        <f t="shared" si="22"/>
        <v>15775.701030927836</v>
      </c>
      <c r="F132" s="79">
        <f t="shared" si="22"/>
        <v>23789.087628865978</v>
      </c>
      <c r="G132" s="79">
        <f t="shared" si="22"/>
        <v>40829.845360824736</v>
      </c>
      <c r="H132" s="79">
        <f t="shared" si="22"/>
        <v>41435.072164948448</v>
      </c>
      <c r="I132" s="79">
        <f t="shared" si="22"/>
        <v>43223.19587628865</v>
      </c>
      <c r="K132" s="33"/>
    </row>
    <row r="133" spans="1:18" ht="15">
      <c r="A133" s="30"/>
      <c r="B133" s="31" t="s">
        <v>175</v>
      </c>
      <c r="C133" s="32">
        <f>C132*C$112</f>
        <v>0</v>
      </c>
      <c r="D133" s="32">
        <f t="shared" ref="D133:I133" si="23">D132*D$112</f>
        <v>1188.7271907216493</v>
      </c>
      <c r="E133" s="32">
        <f t="shared" si="23"/>
        <v>1206.8411288659795</v>
      </c>
      <c r="F133" s="32">
        <f t="shared" si="23"/>
        <v>1819.8652036082474</v>
      </c>
      <c r="G133" s="32">
        <f t="shared" si="23"/>
        <v>3123.4831701030921</v>
      </c>
      <c r="H133" s="32">
        <f t="shared" si="23"/>
        <v>3169.7830206185563</v>
      </c>
      <c r="I133" s="32">
        <f t="shared" si="23"/>
        <v>3306.5744845360819</v>
      </c>
      <c r="K133" s="33"/>
      <c r="M133" s="33"/>
    </row>
    <row r="134" spans="1:18" ht="15">
      <c r="A134" s="30"/>
      <c r="B134" s="31" t="s">
        <v>66</v>
      </c>
      <c r="C134" s="32">
        <f>C132*C$113</f>
        <v>0</v>
      </c>
      <c r="D134" s="32">
        <f t="shared" ref="D134:I134" si="24">D132*D$113</f>
        <v>82.356262886597918</v>
      </c>
      <c r="E134" s="32">
        <f t="shared" si="24"/>
        <v>83.611215463917532</v>
      </c>
      <c r="F134" s="32">
        <f t="shared" si="24"/>
        <v>126.08216443298969</v>
      </c>
      <c r="G134" s="32">
        <f t="shared" si="24"/>
        <v>216.39818041237109</v>
      </c>
      <c r="H134" s="32">
        <f t="shared" si="24"/>
        <v>219.60588247422677</v>
      </c>
      <c r="I134" s="32">
        <f t="shared" si="24"/>
        <v>229.08293814432986</v>
      </c>
      <c r="K134" s="33"/>
      <c r="M134" s="33"/>
    </row>
    <row r="135" spans="1:18" ht="15">
      <c r="A135" s="30"/>
      <c r="B135" s="31" t="s">
        <v>176</v>
      </c>
      <c r="C135" s="81">
        <f t="shared" ref="C135:I135" si="25">(C55)*C$117*C$116</f>
        <v>0</v>
      </c>
      <c r="D135" s="81">
        <f t="shared" si="25"/>
        <v>172.8</v>
      </c>
      <c r="E135" s="81">
        <f t="shared" si="25"/>
        <v>172.8</v>
      </c>
      <c r="F135" s="81">
        <f t="shared" si="25"/>
        <v>243</v>
      </c>
      <c r="G135" s="81">
        <f t="shared" si="25"/>
        <v>378</v>
      </c>
      <c r="H135" s="81">
        <f t="shared" si="25"/>
        <v>351</v>
      </c>
      <c r="I135" s="81">
        <f t="shared" si="25"/>
        <v>324</v>
      </c>
      <c r="K135" s="33"/>
      <c r="M135" s="33"/>
    </row>
    <row r="136" spans="1:18" ht="15">
      <c r="A136" s="30"/>
      <c r="B136" s="31" t="s">
        <v>52</v>
      </c>
      <c r="C136" s="32">
        <f>C132*C$66</f>
        <v>0</v>
      </c>
      <c r="D136" s="32">
        <f t="shared" ref="D136:I136" si="26">D132*D$66</f>
        <v>2408.5322164948448</v>
      </c>
      <c r="E136" s="32">
        <f t="shared" si="26"/>
        <v>2445.2336597938147</v>
      </c>
      <c r="F136" s="32">
        <f t="shared" si="26"/>
        <v>3687.3085824742266</v>
      </c>
      <c r="G136" s="32">
        <f t="shared" si="26"/>
        <v>6328.6260309278341</v>
      </c>
      <c r="H136" s="32">
        <f t="shared" si="26"/>
        <v>6422.4361855670095</v>
      </c>
      <c r="I136" s="32">
        <f t="shared" si="26"/>
        <v>6699.595360824741</v>
      </c>
      <c r="K136" s="33"/>
      <c r="M136" s="33"/>
    </row>
    <row r="137" spans="1:18" ht="6" customHeight="1"/>
    <row r="138" spans="1:18">
      <c r="A138" s="72" t="s">
        <v>164</v>
      </c>
      <c r="J138" s="44"/>
      <c r="M138" s="45"/>
      <c r="N138" s="46"/>
      <c r="O138" s="45"/>
      <c r="P138" s="45"/>
      <c r="Q138" s="45"/>
      <c r="R138" s="45"/>
    </row>
    <row r="139" spans="1:18" ht="15">
      <c r="A139" s="30"/>
      <c r="B139" s="31" t="s">
        <v>28</v>
      </c>
      <c r="C139" s="32">
        <f>(C83*C84)+(C86*C87)</f>
        <v>9666.6666666666661</v>
      </c>
      <c r="D139" s="32">
        <f t="shared" ref="D139:I139" si="27">(D83*D84)+(D86*D87)</f>
        <v>60000</v>
      </c>
      <c r="E139" s="32">
        <f t="shared" si="27"/>
        <v>60320</v>
      </c>
      <c r="F139" s="32">
        <f t="shared" si="27"/>
        <v>60640</v>
      </c>
      <c r="G139" s="32">
        <f t="shared" si="27"/>
        <v>60960</v>
      </c>
      <c r="H139" s="32">
        <f t="shared" si="27"/>
        <v>61280</v>
      </c>
      <c r="I139" s="32">
        <f t="shared" si="27"/>
        <v>61600</v>
      </c>
      <c r="K139" s="33"/>
    </row>
    <row r="140" spans="1:18" ht="15">
      <c r="A140" s="30"/>
      <c r="B140" s="31" t="s">
        <v>69</v>
      </c>
      <c r="C140" s="32">
        <f>(C90*C91*C92)+(C100*C101*C102)+(C105*C106)</f>
        <v>0</v>
      </c>
      <c r="D140" s="32">
        <f t="shared" ref="D140:I140" si="28">(D90*D91*D92)+(D100*D101*D102)+(D105*D106)</f>
        <v>579.5911528150134</v>
      </c>
      <c r="E140" s="32">
        <f t="shared" si="28"/>
        <v>582.6823056300268</v>
      </c>
      <c r="F140" s="32">
        <f t="shared" si="28"/>
        <v>585.77345844504021</v>
      </c>
      <c r="G140" s="32">
        <f t="shared" si="28"/>
        <v>588.86461126005361</v>
      </c>
      <c r="H140" s="32">
        <f t="shared" si="28"/>
        <v>591.95576407506701</v>
      </c>
      <c r="I140" s="32">
        <f t="shared" si="28"/>
        <v>595.04691689008041</v>
      </c>
      <c r="K140" s="33"/>
    </row>
    <row r="141" spans="1:18" ht="15">
      <c r="A141" s="30"/>
      <c r="B141" s="31" t="s">
        <v>175</v>
      </c>
      <c r="C141" s="32">
        <f>SUM(C139:C140)*C$112</f>
        <v>739.49999999999989</v>
      </c>
      <c r="D141" s="32">
        <f t="shared" ref="D141:I141" si="29">SUM(D139:D140)*D$112</f>
        <v>4634.338723190348</v>
      </c>
      <c r="E141" s="32">
        <f t="shared" si="29"/>
        <v>4659.0551963806965</v>
      </c>
      <c r="F141" s="32">
        <f t="shared" si="29"/>
        <v>4683.7716695710451</v>
      </c>
      <c r="G141" s="32">
        <f t="shared" si="29"/>
        <v>4708.4881427613936</v>
      </c>
      <c r="H141" s="32">
        <f t="shared" si="29"/>
        <v>4733.2046159517422</v>
      </c>
      <c r="I141" s="32">
        <f t="shared" si="29"/>
        <v>4757.9210891420908</v>
      </c>
      <c r="K141" s="33"/>
      <c r="M141" s="33"/>
    </row>
    <row r="142" spans="1:18" ht="15">
      <c r="A142" s="30"/>
      <c r="B142" s="31" t="s">
        <v>66</v>
      </c>
      <c r="C142" s="32">
        <f>SUM(C139:C140)*C$113</f>
        <v>51.233333333333327</v>
      </c>
      <c r="D142" s="32">
        <f t="shared" ref="D142:I142" si="30">SUM(D139:D140)*D$113</f>
        <v>321.07183310991957</v>
      </c>
      <c r="E142" s="32">
        <f t="shared" si="30"/>
        <v>322.78421621983915</v>
      </c>
      <c r="F142" s="32">
        <f t="shared" si="30"/>
        <v>324.49659932975868</v>
      </c>
      <c r="G142" s="32">
        <f t="shared" si="30"/>
        <v>326.20898243967827</v>
      </c>
      <c r="H142" s="32">
        <f t="shared" si="30"/>
        <v>327.92136554959785</v>
      </c>
      <c r="I142" s="32">
        <f t="shared" si="30"/>
        <v>329.63374865951744</v>
      </c>
      <c r="K142" s="33"/>
      <c r="M142" s="33"/>
    </row>
    <row r="143" spans="1:18" ht="15">
      <c r="A143" s="30"/>
      <c r="B143" s="31" t="s">
        <v>176</v>
      </c>
      <c r="C143" s="81">
        <f>(C84+C87+IF(OR(C91=0,C92=0),0,1)+IF(OR(C91=100,C102=0),0,1))*C$117*C$116</f>
        <v>62.999999999999993</v>
      </c>
      <c r="D143" s="81">
        <f t="shared" ref="D143:I143" si="31">(D84+D87+IF(OR(D91=0,D92=0),0,1)+IF(OR(D91=100,D102=0),0,1))*D$117*D$116</f>
        <v>432</v>
      </c>
      <c r="E143" s="81">
        <f t="shared" si="31"/>
        <v>432</v>
      </c>
      <c r="F143" s="81">
        <f t="shared" si="31"/>
        <v>405</v>
      </c>
      <c r="G143" s="81">
        <f t="shared" si="31"/>
        <v>378</v>
      </c>
      <c r="H143" s="81">
        <f t="shared" si="31"/>
        <v>351</v>
      </c>
      <c r="I143" s="81">
        <f t="shared" si="31"/>
        <v>324</v>
      </c>
      <c r="K143" s="33"/>
      <c r="M143" s="33"/>
    </row>
    <row r="144" spans="1:18" ht="15">
      <c r="A144" s="30"/>
      <c r="B144" s="31" t="s">
        <v>52</v>
      </c>
      <c r="C144" s="32">
        <f>SUM(C139:C140)*D$66</f>
        <v>1498.3333333333333</v>
      </c>
      <c r="D144" s="32">
        <f t="shared" ref="D144:I144" si="32">SUM(D139:D140)*D$66</f>
        <v>9389.8366286863256</v>
      </c>
      <c r="E144" s="32">
        <f t="shared" si="32"/>
        <v>9439.9157573726534</v>
      </c>
      <c r="F144" s="32">
        <f t="shared" si="32"/>
        <v>9489.9948860589811</v>
      </c>
      <c r="G144" s="32">
        <f t="shared" si="32"/>
        <v>9540.0740147453089</v>
      </c>
      <c r="H144" s="32">
        <f t="shared" si="32"/>
        <v>9590.1531434316348</v>
      </c>
      <c r="I144" s="32">
        <f t="shared" si="32"/>
        <v>9640.2322721179626</v>
      </c>
      <c r="K144" s="33"/>
      <c r="M144" s="33"/>
    </row>
    <row r="146" spans="1:9">
      <c r="A146" s="30"/>
      <c r="B146" s="84" t="s">
        <v>47</v>
      </c>
      <c r="C146" s="85">
        <f>SUM(C123:C144)</f>
        <v>12018.733333333334</v>
      </c>
      <c r="D146" s="85">
        <f t="shared" ref="D146:I146" si="33">SUM(D123:D144)</f>
        <v>779813.19158678851</v>
      </c>
      <c r="E146" s="85">
        <f t="shared" si="33"/>
        <v>1056995.7122162704</v>
      </c>
      <c r="F146" s="85">
        <f t="shared" si="33"/>
        <v>1135820.6595605146</v>
      </c>
      <c r="G146" s="85">
        <f t="shared" si="33"/>
        <v>1326826.7341598207</v>
      </c>
      <c r="H146" s="85">
        <f t="shared" si="33"/>
        <v>1405568.5243501698</v>
      </c>
      <c r="I146" s="85">
        <f t="shared" si="33"/>
        <v>1458618.9041589915</v>
      </c>
    </row>
  </sheetData>
  <sheetProtection password="DF03" sheet="1" objects="1" scenarios="1"/>
  <mergeCells count="39">
    <mergeCell ref="A52:B52"/>
    <mergeCell ref="B10:I10"/>
    <mergeCell ref="A48:B48"/>
    <mergeCell ref="A49:B49"/>
    <mergeCell ref="A50:B50"/>
    <mergeCell ref="A51:B51"/>
    <mergeCell ref="A87:B87"/>
    <mergeCell ref="A53:B53"/>
    <mergeCell ref="A55:B55"/>
    <mergeCell ref="A56:B56"/>
    <mergeCell ref="A57:B57"/>
    <mergeCell ref="B61:I61"/>
    <mergeCell ref="B70:I70"/>
    <mergeCell ref="B82:I82"/>
    <mergeCell ref="A83:B83"/>
    <mergeCell ref="A84:B84"/>
    <mergeCell ref="B85:I85"/>
    <mergeCell ref="A86:B86"/>
    <mergeCell ref="B89:I89"/>
    <mergeCell ref="A90:B90"/>
    <mergeCell ref="A91:B91"/>
    <mergeCell ref="A92:B92"/>
    <mergeCell ref="B93:I93"/>
    <mergeCell ref="B109:I109"/>
    <mergeCell ref="A54:B54"/>
    <mergeCell ref="A95:B95"/>
    <mergeCell ref="A101:B101"/>
    <mergeCell ref="A102:B102"/>
    <mergeCell ref="B103:I103"/>
    <mergeCell ref="B104:I104"/>
    <mergeCell ref="A105:B105"/>
    <mergeCell ref="A106:B106"/>
    <mergeCell ref="A94:B94"/>
    <mergeCell ref="A96:B96"/>
    <mergeCell ref="A97:B97"/>
    <mergeCell ref="A98:B98"/>
    <mergeCell ref="B99:I99"/>
    <mergeCell ref="A100:B100"/>
    <mergeCell ref="B88:I88"/>
  </mergeCells>
  <pageMargins left="0.5" right="0.5" top="0.5" bottom="0.5" header="0.3" footer="0.3"/>
  <pageSetup orientation="landscape" horizontalDpi="4294967293" verticalDpi="1200" r:id="rId1"/>
  <headerFooter>
    <oddFooter>&amp;LPPA, Jr. Staffing Worksheet&amp;CPinellas Preparatory Academy, Inc.&amp;RPage &amp;P or &amp;N</oddFooter>
  </headerFooter>
  <rowBreaks count="2" manualBreakCount="2">
    <brk id="39" max="16383" man="1"/>
    <brk id="11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90"/>
  <sheetViews>
    <sheetView showGridLines="0" view="pageLayout" zoomScale="70" zoomScaleNormal="100" zoomScalePageLayoutView="70" workbookViewId="0"/>
  </sheetViews>
  <sheetFormatPr defaultRowHeight="12.75"/>
  <cols>
    <col min="1" max="1" width="14" style="26" bestFit="1" customWidth="1"/>
    <col min="2" max="2" width="22.140625" style="26" customWidth="1"/>
    <col min="3" max="9" width="12.85546875" style="26" customWidth="1"/>
    <col min="10" max="12" width="11.85546875" style="26" bestFit="1" customWidth="1"/>
    <col min="13" max="13" width="11.28515625" style="26" bestFit="1" customWidth="1"/>
    <col min="14" max="14" width="10" style="26" bestFit="1" customWidth="1"/>
    <col min="15" max="15" width="8.7109375" style="26" bestFit="1" customWidth="1"/>
    <col min="16" max="16" width="9.7109375" style="26" bestFit="1" customWidth="1"/>
    <col min="17" max="17" width="8.28515625" style="26" bestFit="1" customWidth="1"/>
    <col min="18" max="18" width="8.7109375" style="26" bestFit="1" customWidth="1"/>
    <col min="19" max="16384" width="9.140625" style="26"/>
  </cols>
  <sheetData>
    <row r="1" spans="1:11" ht="27">
      <c r="A1" s="295" t="s">
        <v>621</v>
      </c>
      <c r="B1" s="295"/>
      <c r="C1" s="295"/>
      <c r="D1" s="295"/>
      <c r="E1" s="295"/>
      <c r="F1" s="295"/>
      <c r="G1" s="295"/>
      <c r="H1" s="295"/>
      <c r="I1" s="295"/>
    </row>
    <row r="2" spans="1:11">
      <c r="B2" s="27" t="s">
        <v>42</v>
      </c>
      <c r="J2" s="28"/>
      <c r="K2" s="29"/>
    </row>
    <row r="3" spans="1:11">
      <c r="B3" s="155" t="s">
        <v>45</v>
      </c>
      <c r="C3" s="55" t="s">
        <v>22</v>
      </c>
      <c r="D3" s="55" t="s">
        <v>98</v>
      </c>
      <c r="E3" s="55" t="s">
        <v>99</v>
      </c>
      <c r="F3" s="55" t="s">
        <v>100</v>
      </c>
      <c r="G3" s="55" t="s">
        <v>101</v>
      </c>
      <c r="H3" s="55" t="s">
        <v>102</v>
      </c>
      <c r="I3" s="55" t="s">
        <v>103</v>
      </c>
      <c r="J3" s="28"/>
      <c r="K3" s="29"/>
    </row>
    <row r="4" spans="1:11">
      <c r="B4" s="156" t="s">
        <v>472</v>
      </c>
      <c r="C4" s="164">
        <f>Combined!B5</f>
        <v>0</v>
      </c>
      <c r="D4" s="164">
        <f>Combined!C5</f>
        <v>1252328.7231999999</v>
      </c>
      <c r="E4" s="164">
        <f>Combined!D5</f>
        <v>1781024.786176</v>
      </c>
      <c r="F4" s="164">
        <f>Combined!E5</f>
        <v>1915060.8153737602</v>
      </c>
      <c r="G4" s="164">
        <f>Combined!F5</f>
        <v>2174233.4414608451</v>
      </c>
      <c r="H4" s="164">
        <f>Combined!G5</f>
        <v>2312229.8141044201</v>
      </c>
      <c r="I4" s="164">
        <f>Combined!H5</f>
        <v>2327082.1454618643</v>
      </c>
      <c r="J4" s="28"/>
      <c r="K4" s="29"/>
    </row>
    <row r="5" spans="1:11" ht="13.5" thickBot="1">
      <c r="B5" s="157" t="s">
        <v>473</v>
      </c>
      <c r="C5" s="165">
        <f>Combined!B6</f>
        <v>15745.9</v>
      </c>
      <c r="D5" s="165">
        <f>Combined!C6</f>
        <v>1324448.1186986249</v>
      </c>
      <c r="E5" s="165">
        <f>Combined!D6</f>
        <v>1699782.3793936544</v>
      </c>
      <c r="F5" s="165">
        <f>Combined!E6</f>
        <v>1845775.9388543332</v>
      </c>
      <c r="G5" s="165">
        <f>Combined!F6</f>
        <v>2108593.5856019137</v>
      </c>
      <c r="H5" s="165">
        <f>Combined!G6</f>
        <v>2216548.3861227771</v>
      </c>
      <c r="I5" s="165">
        <f>Combined!H6</f>
        <v>2276941.2047650977</v>
      </c>
      <c r="J5" s="28"/>
      <c r="K5" s="29"/>
    </row>
    <row r="6" spans="1:11" ht="13.5" thickBot="1">
      <c r="B6" s="166" t="s">
        <v>474</v>
      </c>
      <c r="C6" s="167">
        <f>Combined!B7</f>
        <v>-15745.9</v>
      </c>
      <c r="D6" s="167">
        <f>Combined!C7</f>
        <v>-72119.395498625003</v>
      </c>
      <c r="E6" s="167">
        <f>Combined!D7</f>
        <v>81242.406782345613</v>
      </c>
      <c r="F6" s="167">
        <f>Combined!E7</f>
        <v>69284.876519426936</v>
      </c>
      <c r="G6" s="167">
        <f>Combined!F7</f>
        <v>65639.855858931318</v>
      </c>
      <c r="H6" s="167">
        <f>Combined!G7</f>
        <v>95681.427981643006</v>
      </c>
      <c r="I6" s="167">
        <f>Combined!H7</f>
        <v>50140.9406967666</v>
      </c>
      <c r="J6" s="28"/>
      <c r="K6" s="29"/>
    </row>
    <row r="7" spans="1:11" ht="13.5" thickTop="1">
      <c r="B7" s="168" t="s">
        <v>471</v>
      </c>
      <c r="C7" s="169">
        <f>Combined!B28</f>
        <v>635.36344863520935</v>
      </c>
      <c r="D7" s="169">
        <f>Combined!C28</f>
        <v>4088.3836645120755</v>
      </c>
      <c r="E7" s="169">
        <f>Combined!D28</f>
        <v>159558.14362255018</v>
      </c>
      <c r="F7" s="169">
        <f>Combined!E28</f>
        <v>58755.307399456389</v>
      </c>
      <c r="G7" s="169">
        <f>Combined!F28</f>
        <v>71968.6691986816</v>
      </c>
      <c r="H7" s="169">
        <f>Combined!G28</f>
        <v>132388.22050115</v>
      </c>
      <c r="I7" s="169">
        <f>Combined!H28</f>
        <v>63737.509453523904</v>
      </c>
      <c r="J7" s="28"/>
      <c r="K7" s="29"/>
    </row>
    <row r="9" spans="1:11" ht="23.25" thickBot="1">
      <c r="A9" s="34" t="s">
        <v>70</v>
      </c>
      <c r="B9" s="35"/>
      <c r="C9" s="35"/>
      <c r="D9" s="35"/>
      <c r="E9" s="35"/>
      <c r="F9" s="35"/>
      <c r="G9" s="35"/>
      <c r="H9" s="35"/>
      <c r="I9" s="35"/>
    </row>
    <row r="10" spans="1:11">
      <c r="B10" s="402" t="s">
        <v>283</v>
      </c>
      <c r="C10" s="401"/>
      <c r="D10" s="401"/>
      <c r="E10" s="401"/>
      <c r="F10" s="401"/>
      <c r="G10" s="401"/>
      <c r="H10" s="401"/>
      <c r="I10" s="401"/>
    </row>
    <row r="11" spans="1:11">
      <c r="B11" s="130" t="s">
        <v>45</v>
      </c>
      <c r="C11" s="55" t="s">
        <v>22</v>
      </c>
      <c r="D11" s="55" t="s">
        <v>98</v>
      </c>
      <c r="E11" s="55" t="s">
        <v>99</v>
      </c>
      <c r="F11" s="55" t="s">
        <v>100</v>
      </c>
      <c r="G11" s="55" t="s">
        <v>101</v>
      </c>
      <c r="H11" s="55" t="s">
        <v>102</v>
      </c>
      <c r="I11" s="55" t="s">
        <v>103</v>
      </c>
    </row>
    <row r="12" spans="1:11">
      <c r="B12" s="128" t="s">
        <v>284</v>
      </c>
      <c r="C12" s="129"/>
      <c r="D12" s="238">
        <v>3</v>
      </c>
      <c r="E12" s="238">
        <v>4</v>
      </c>
      <c r="F12" s="238">
        <v>5</v>
      </c>
      <c r="G12" s="238">
        <v>6</v>
      </c>
      <c r="H12" s="238">
        <v>6.5</v>
      </c>
      <c r="I12" s="238">
        <v>6.75</v>
      </c>
    </row>
    <row r="13" spans="1:11">
      <c r="B13" s="131" t="s">
        <v>285</v>
      </c>
      <c r="C13" s="62"/>
      <c r="D13" s="62">
        <v>71</v>
      </c>
      <c r="E13" s="62">
        <v>72</v>
      </c>
      <c r="F13" s="62">
        <v>73</v>
      </c>
      <c r="G13" s="62">
        <v>74</v>
      </c>
      <c r="H13" s="62">
        <v>75</v>
      </c>
      <c r="I13" s="62">
        <v>76</v>
      </c>
    </row>
    <row r="14" spans="1:11">
      <c r="B14" s="42" t="s">
        <v>286</v>
      </c>
      <c r="C14" s="132">
        <f>9*4*C12*C13</f>
        <v>0</v>
      </c>
      <c r="D14" s="132">
        <f t="shared" ref="D14:I14" si="0">9*4*D12*D13</f>
        <v>7668</v>
      </c>
      <c r="E14" s="132">
        <f t="shared" si="0"/>
        <v>10368</v>
      </c>
      <c r="F14" s="132">
        <f t="shared" si="0"/>
        <v>13140</v>
      </c>
      <c r="G14" s="132">
        <f t="shared" si="0"/>
        <v>15984</v>
      </c>
      <c r="H14" s="132">
        <f t="shared" si="0"/>
        <v>17550</v>
      </c>
      <c r="I14" s="132">
        <f t="shared" si="0"/>
        <v>18468</v>
      </c>
    </row>
    <row r="15" spans="1:11">
      <c r="C15" s="42"/>
    </row>
    <row r="16" spans="1:11">
      <c r="B16" s="402" t="s">
        <v>287</v>
      </c>
      <c r="C16" s="401"/>
      <c r="D16" s="401"/>
      <c r="E16" s="401"/>
      <c r="F16" s="401"/>
      <c r="G16" s="401"/>
      <c r="H16" s="401"/>
      <c r="I16" s="401"/>
    </row>
    <row r="17" spans="2:17">
      <c r="B17" s="130" t="s">
        <v>45</v>
      </c>
      <c r="C17" s="55" t="s">
        <v>22</v>
      </c>
      <c r="D17" s="55" t="s">
        <v>98</v>
      </c>
      <c r="E17" s="55" t="s">
        <v>99</v>
      </c>
      <c r="F17" s="55" t="s">
        <v>100</v>
      </c>
      <c r="G17" s="55" t="s">
        <v>101</v>
      </c>
      <c r="H17" s="55" t="s">
        <v>102</v>
      </c>
      <c r="I17" s="55" t="s">
        <v>103</v>
      </c>
    </row>
    <row r="18" spans="2:17">
      <c r="B18" s="128" t="s">
        <v>284</v>
      </c>
      <c r="C18" s="62">
        <v>3500</v>
      </c>
      <c r="D18" s="62">
        <v>6250</v>
      </c>
      <c r="E18" s="62">
        <v>6500</v>
      </c>
      <c r="F18" s="62">
        <v>6750</v>
      </c>
      <c r="G18" s="62">
        <v>7000</v>
      </c>
      <c r="H18" s="62">
        <v>7250</v>
      </c>
      <c r="I18" s="62">
        <v>7500</v>
      </c>
    </row>
    <row r="19" spans="2:17">
      <c r="K19" s="29"/>
      <c r="L19" s="29"/>
      <c r="M19" s="29"/>
      <c r="N19" s="29"/>
      <c r="O19" s="29"/>
      <c r="P19" s="29"/>
    </row>
    <row r="20" spans="2:17">
      <c r="B20" s="402" t="s">
        <v>288</v>
      </c>
      <c r="C20" s="401"/>
      <c r="D20" s="401"/>
      <c r="E20" s="401"/>
      <c r="F20" s="401"/>
      <c r="G20" s="401"/>
      <c r="H20" s="401"/>
      <c r="I20" s="401"/>
      <c r="K20" s="29"/>
      <c r="L20" s="29"/>
      <c r="M20" s="29"/>
      <c r="N20" s="29"/>
      <c r="O20" s="29"/>
      <c r="P20" s="29"/>
    </row>
    <row r="21" spans="2:17">
      <c r="B21" s="130" t="s">
        <v>45</v>
      </c>
      <c r="C21" s="55" t="s">
        <v>22</v>
      </c>
      <c r="D21" s="55" t="s">
        <v>98</v>
      </c>
      <c r="E21" s="55" t="s">
        <v>99</v>
      </c>
      <c r="F21" s="55" t="s">
        <v>100</v>
      </c>
      <c r="G21" s="55" t="s">
        <v>101</v>
      </c>
      <c r="H21" s="55" t="s">
        <v>102</v>
      </c>
      <c r="I21" s="55" t="s">
        <v>103</v>
      </c>
      <c r="K21" s="29"/>
      <c r="L21" s="29"/>
      <c r="M21" s="29"/>
      <c r="N21" s="29"/>
      <c r="O21" s="29"/>
      <c r="P21" s="29"/>
    </row>
    <row r="22" spans="2:17">
      <c r="B22" s="128" t="s">
        <v>289</v>
      </c>
      <c r="C22" s="62">
        <v>0</v>
      </c>
      <c r="D22" s="62">
        <f>0.6*'PPA-General'!D22</f>
        <v>5220</v>
      </c>
      <c r="E22" s="62">
        <f>0.6*'PPA-General'!E22</f>
        <v>5520</v>
      </c>
      <c r="F22" s="62">
        <f>0.6*'PPA-General'!F22</f>
        <v>5820</v>
      </c>
      <c r="G22" s="62">
        <f>0.6*'PPA-General'!G22</f>
        <v>6120</v>
      </c>
      <c r="H22" s="62">
        <f>0.6*'PPA-General'!H22</f>
        <v>6420</v>
      </c>
      <c r="I22" s="62">
        <f>0.6*'PPA-General'!I22</f>
        <v>6720</v>
      </c>
      <c r="K22" s="29"/>
      <c r="L22" s="29"/>
      <c r="M22" s="29"/>
      <c r="N22" s="29"/>
      <c r="O22" s="29"/>
      <c r="P22" s="29"/>
    </row>
    <row r="23" spans="2:17">
      <c r="B23" s="128" t="s">
        <v>290</v>
      </c>
      <c r="C23" s="62">
        <v>0</v>
      </c>
      <c r="D23" s="62">
        <v>260</v>
      </c>
      <c r="E23" s="62">
        <v>270</v>
      </c>
      <c r="F23" s="62">
        <v>280</v>
      </c>
      <c r="G23" s="62">
        <v>290</v>
      </c>
      <c r="H23" s="62">
        <v>300</v>
      </c>
      <c r="I23" s="62">
        <v>310</v>
      </c>
      <c r="K23" s="29"/>
      <c r="L23" s="29"/>
      <c r="M23" s="29"/>
      <c r="N23" s="29"/>
      <c r="O23" s="29"/>
      <c r="P23" s="29"/>
    </row>
    <row r="24" spans="2:17">
      <c r="B24" s="42" t="s">
        <v>286</v>
      </c>
      <c r="C24" s="132">
        <f>(12*C23)+C22</f>
        <v>0</v>
      </c>
      <c r="D24" s="132">
        <f t="shared" ref="D24:I24" si="1">(12*D23)+D22</f>
        <v>8340</v>
      </c>
      <c r="E24" s="132">
        <f t="shared" si="1"/>
        <v>8760</v>
      </c>
      <c r="F24" s="132">
        <f t="shared" si="1"/>
        <v>9180</v>
      </c>
      <c r="G24" s="132">
        <f t="shared" si="1"/>
        <v>9600</v>
      </c>
      <c r="H24" s="132">
        <f t="shared" si="1"/>
        <v>10020</v>
      </c>
      <c r="I24" s="132">
        <f t="shared" si="1"/>
        <v>10440</v>
      </c>
      <c r="K24" s="29"/>
    </row>
    <row r="26" spans="2:17">
      <c r="B26" s="402" t="s">
        <v>291</v>
      </c>
      <c r="C26" s="401"/>
      <c r="D26" s="401"/>
      <c r="E26" s="401"/>
      <c r="F26" s="401"/>
      <c r="G26" s="401"/>
      <c r="H26" s="401"/>
      <c r="I26" s="401"/>
    </row>
    <row r="27" spans="2:17">
      <c r="B27" s="130" t="s">
        <v>45</v>
      </c>
      <c r="C27" s="55" t="s">
        <v>22</v>
      </c>
      <c r="D27" s="55" t="s">
        <v>98</v>
      </c>
      <c r="E27" s="55" t="s">
        <v>99</v>
      </c>
      <c r="F27" s="55" t="s">
        <v>100</v>
      </c>
      <c r="G27" s="55" t="s">
        <v>101</v>
      </c>
      <c r="H27" s="55" t="s">
        <v>102</v>
      </c>
      <c r="I27" s="55" t="s">
        <v>103</v>
      </c>
    </row>
    <row r="28" spans="2:17">
      <c r="B28" s="128" t="s">
        <v>292</v>
      </c>
      <c r="C28" s="62"/>
      <c r="D28" s="62">
        <v>2737</v>
      </c>
      <c r="E28" s="62">
        <v>3381.3</v>
      </c>
      <c r="F28" s="62">
        <v>4350.9528</v>
      </c>
      <c r="G28" s="62">
        <v>5051.3500800000011</v>
      </c>
      <c r="H28" s="62">
        <v>5778.0228700800008</v>
      </c>
      <c r="I28" s="62">
        <v>5893.5833274816005</v>
      </c>
      <c r="K28" s="29"/>
      <c r="L28" s="29"/>
      <c r="M28" s="29"/>
      <c r="N28" s="29"/>
      <c r="O28" s="29"/>
      <c r="P28" s="29"/>
      <c r="Q28" s="29"/>
    </row>
    <row r="29" spans="2:17">
      <c r="B29" s="128" t="s">
        <v>293</v>
      </c>
      <c r="C29" s="62"/>
      <c r="D29" s="62">
        <v>926.36923076923074</v>
      </c>
      <c r="E29" s="62">
        <v>1144.44</v>
      </c>
      <c r="F29" s="62">
        <v>1472.6301784615384</v>
      </c>
      <c r="G29" s="62">
        <v>1709.6877193846151</v>
      </c>
      <c r="H29" s="62">
        <v>1955.6385098732308</v>
      </c>
      <c r="I29" s="62">
        <v>1994.7512800706954</v>
      </c>
      <c r="K29" s="29"/>
      <c r="L29" s="29"/>
      <c r="M29" s="29"/>
      <c r="N29" s="29"/>
      <c r="O29" s="29"/>
      <c r="P29" s="29"/>
      <c r="Q29" s="29"/>
    </row>
    <row r="30" spans="2:17">
      <c r="B30" s="128" t="s">
        <v>294</v>
      </c>
      <c r="C30" s="62"/>
      <c r="D30" s="62">
        <v>1157.9615384615386</v>
      </c>
      <c r="E30" s="62">
        <v>1430.55</v>
      </c>
      <c r="F30" s="62">
        <v>1840.7877230769232</v>
      </c>
      <c r="G30" s="62">
        <v>2137.1096492307693</v>
      </c>
      <c r="H30" s="62">
        <v>2444.5481373415382</v>
      </c>
      <c r="I30" s="62">
        <v>2493.4391000883688</v>
      </c>
      <c r="K30" s="29"/>
      <c r="L30" s="29"/>
      <c r="M30" s="29"/>
      <c r="N30" s="29"/>
      <c r="O30" s="29"/>
      <c r="P30" s="29"/>
      <c r="Q30" s="29"/>
    </row>
    <row r="31" spans="2:17">
      <c r="B31" s="128" t="s">
        <v>71</v>
      </c>
      <c r="C31" s="62"/>
      <c r="D31" s="62">
        <v>2210.6538461538462</v>
      </c>
      <c r="E31" s="62">
        <v>2731.05</v>
      </c>
      <c r="F31" s="62">
        <v>3514.2311076923079</v>
      </c>
      <c r="G31" s="62">
        <v>4079.9366030769233</v>
      </c>
      <c r="H31" s="62">
        <v>4666.8646258338467</v>
      </c>
      <c r="I31" s="62">
        <v>4760.2019183505245</v>
      </c>
      <c r="K31" s="29"/>
      <c r="L31" s="29"/>
      <c r="M31" s="29"/>
      <c r="N31" s="29"/>
      <c r="O31" s="29"/>
      <c r="P31" s="29"/>
      <c r="Q31" s="29"/>
    </row>
    <row r="32" spans="2:17">
      <c r="B32" s="128" t="s">
        <v>72</v>
      </c>
      <c r="C32" s="62"/>
      <c r="D32" s="62">
        <v>421.07692307692309</v>
      </c>
      <c r="E32" s="62">
        <v>520.20000000000005</v>
      </c>
      <c r="F32" s="62">
        <v>669.37735384615382</v>
      </c>
      <c r="G32" s="62">
        <v>777.13078153846163</v>
      </c>
      <c r="H32" s="62">
        <v>888.92659539692306</v>
      </c>
      <c r="I32" s="62">
        <v>906.70512730486143</v>
      </c>
      <c r="K32" s="29"/>
      <c r="L32" s="29"/>
      <c r="M32" s="29"/>
      <c r="N32" s="29"/>
      <c r="O32" s="29"/>
      <c r="P32" s="29"/>
      <c r="Q32" s="29"/>
    </row>
    <row r="33" spans="1:12">
      <c r="B33" s="42" t="s">
        <v>286</v>
      </c>
      <c r="C33" s="132">
        <f>SUM(C28:C32)</f>
        <v>0</v>
      </c>
      <c r="D33" s="132">
        <f t="shared" ref="D33:I33" si="2">SUM(D28:D32)</f>
        <v>7453.0615384615385</v>
      </c>
      <c r="E33" s="132">
        <f t="shared" si="2"/>
        <v>9207.5400000000009</v>
      </c>
      <c r="F33" s="132">
        <f t="shared" si="2"/>
        <v>11847.979163076921</v>
      </c>
      <c r="G33" s="132">
        <f t="shared" si="2"/>
        <v>13755.21483323077</v>
      </c>
      <c r="H33" s="132">
        <f t="shared" si="2"/>
        <v>15734.000738525539</v>
      </c>
      <c r="I33" s="132">
        <f t="shared" si="2"/>
        <v>16048.68075329605</v>
      </c>
    </row>
    <row r="34" spans="1:12">
      <c r="B34" s="42" t="s">
        <v>295</v>
      </c>
      <c r="C34" s="132"/>
      <c r="D34" s="133"/>
      <c r="E34" s="133">
        <f>(E33-D33)/D33</f>
        <v>0.23540372670807466</v>
      </c>
      <c r="F34" s="133">
        <f>(F33-E33)/E33</f>
        <v>0.28676923076923044</v>
      </c>
      <c r="G34" s="133">
        <f>(G33-F33)/F33</f>
        <v>0.16097560975609776</v>
      </c>
      <c r="H34" s="133">
        <f>(H33-G33)/G33</f>
        <v>0.14385714285714288</v>
      </c>
      <c r="I34" s="133">
        <f>(I33-H33)/H33</f>
        <v>1.9999999999999997E-2</v>
      </c>
    </row>
    <row r="37" spans="1:12" ht="23.25" thickBot="1">
      <c r="A37" s="34" t="s">
        <v>86</v>
      </c>
      <c r="B37" s="35"/>
      <c r="C37" s="35"/>
      <c r="D37" s="35"/>
      <c r="E37" s="35"/>
      <c r="F37" s="35"/>
      <c r="G37" s="35"/>
      <c r="H37" s="35"/>
      <c r="I37" s="35"/>
    </row>
    <row r="38" spans="1:12">
      <c r="B38" s="402" t="s">
        <v>297</v>
      </c>
      <c r="C38" s="401"/>
      <c r="D38" s="401"/>
      <c r="E38" s="401"/>
      <c r="F38" s="401"/>
      <c r="G38" s="401"/>
      <c r="H38" s="401"/>
      <c r="I38" s="401"/>
    </row>
    <row r="39" spans="1:12">
      <c r="B39" s="130" t="s">
        <v>45</v>
      </c>
      <c r="C39" s="55" t="s">
        <v>22</v>
      </c>
      <c r="D39" s="55" t="s">
        <v>98</v>
      </c>
      <c r="E39" s="55" t="s">
        <v>99</v>
      </c>
      <c r="F39" s="55" t="s">
        <v>100</v>
      </c>
      <c r="G39" s="55" t="s">
        <v>101</v>
      </c>
      <c r="H39" s="55" t="s">
        <v>102</v>
      </c>
      <c r="I39" s="55" t="s">
        <v>103</v>
      </c>
    </row>
    <row r="40" spans="1:12">
      <c r="B40" s="128" t="s">
        <v>235</v>
      </c>
      <c r="C40" s="62"/>
      <c r="D40" s="62">
        <v>6.12</v>
      </c>
      <c r="E40" s="62">
        <f>D40+(0.02*D40)</f>
        <v>6.2423999999999999</v>
      </c>
      <c r="F40" s="62">
        <f>E40+(0.02*E40)</f>
        <v>6.367248</v>
      </c>
      <c r="G40" s="62">
        <f>F40+(0.02*F40)</f>
        <v>6.4945929600000003</v>
      </c>
      <c r="H40" s="62">
        <f>G40+(0.02*G40)</f>
        <v>6.6244848192000001</v>
      </c>
      <c r="I40" s="62">
        <f>H40+(0.02*H40)</f>
        <v>6.756974515584</v>
      </c>
    </row>
    <row r="41" spans="1:12">
      <c r="B41" s="128" t="s">
        <v>236</v>
      </c>
      <c r="C41" s="62"/>
      <c r="D41" s="62">
        <v>1.02</v>
      </c>
      <c r="E41" s="62">
        <f t="shared" ref="E41:I42" si="3">D41+(0.02*D41)</f>
        <v>1.0404</v>
      </c>
      <c r="F41" s="62">
        <f t="shared" si="3"/>
        <v>1.0612079999999999</v>
      </c>
      <c r="G41" s="62">
        <f t="shared" si="3"/>
        <v>1.08243216</v>
      </c>
      <c r="H41" s="62">
        <f t="shared" si="3"/>
        <v>1.1040808032</v>
      </c>
      <c r="I41" s="62">
        <f t="shared" si="3"/>
        <v>1.1261624192640001</v>
      </c>
    </row>
    <row r="42" spans="1:12">
      <c r="B42" s="128" t="s">
        <v>219</v>
      </c>
      <c r="C42" s="62"/>
      <c r="D42" s="62">
        <v>2</v>
      </c>
      <c r="E42" s="62">
        <f t="shared" si="3"/>
        <v>2.04</v>
      </c>
      <c r="F42" s="62">
        <f t="shared" si="3"/>
        <v>2.0808</v>
      </c>
      <c r="G42" s="62">
        <f t="shared" si="3"/>
        <v>2.1224159999999999</v>
      </c>
      <c r="H42" s="62">
        <f t="shared" si="3"/>
        <v>2.16486432</v>
      </c>
      <c r="I42" s="62">
        <f t="shared" si="3"/>
        <v>2.2081616064</v>
      </c>
    </row>
    <row r="43" spans="1:12">
      <c r="B43" s="128" t="s">
        <v>296</v>
      </c>
      <c r="C43" s="62"/>
      <c r="D43" s="62">
        <v>1.02</v>
      </c>
      <c r="E43" s="62">
        <f>D43+(0.02*D43)</f>
        <v>1.0404</v>
      </c>
      <c r="F43" s="62">
        <f>E43+(0.02*E43)</f>
        <v>1.0612079999999999</v>
      </c>
      <c r="G43" s="62">
        <f>F43+(0.02*F43)</f>
        <v>1.08243216</v>
      </c>
      <c r="H43" s="62">
        <f>G43+(0.02*G43)</f>
        <v>1.1040808032</v>
      </c>
      <c r="I43" s="62">
        <f>H43+(0.02*H43)</f>
        <v>1.1261624192640001</v>
      </c>
    </row>
    <row r="44" spans="1:12">
      <c r="B44" s="42" t="s">
        <v>286</v>
      </c>
      <c r="C44" s="132">
        <f>'PPA-Staff'!C27*(C40+C41+C42+C43)</f>
        <v>0</v>
      </c>
      <c r="D44" s="132">
        <f>'PPA-Staff'!D27*(D40+D41+D42+D43)</f>
        <v>3962.4</v>
      </c>
      <c r="E44" s="132">
        <f>'PPA-Staff'!E27*(E40+E41+E42+E43)</f>
        <v>4041.6480000000001</v>
      </c>
      <c r="F44" s="132">
        <f>'PPA-Staff'!F27*(F40+F41+F42+F43)</f>
        <v>4122.4809600000008</v>
      </c>
      <c r="G44" s="132">
        <f>'PPA-Staff'!G27*(G40+G41+G42+G43)</f>
        <v>4204.9305791999996</v>
      </c>
      <c r="H44" s="132">
        <f>'PPA-Staff'!H27*(H40+H41+H42+H43)</f>
        <v>4289.0291907840001</v>
      </c>
      <c r="I44" s="132">
        <f>'PPA-Staff'!I27*(I40+I41+I42+I43)</f>
        <v>4374.8097745996802</v>
      </c>
    </row>
    <row r="45" spans="1:12" ht="15">
      <c r="B45" s="48"/>
      <c r="C45" s="48"/>
      <c r="D45" s="47"/>
      <c r="E45" s="38"/>
      <c r="F45" s="38"/>
      <c r="G45" s="38"/>
      <c r="H45" s="38"/>
      <c r="I45" s="38"/>
      <c r="J45" s="50"/>
      <c r="K45" s="50"/>
      <c r="L45" s="50"/>
    </row>
    <row r="46" spans="1:12" ht="23.25" thickBot="1">
      <c r="A46" s="34" t="s">
        <v>87</v>
      </c>
      <c r="B46" s="35"/>
      <c r="C46" s="35"/>
      <c r="D46" s="35"/>
      <c r="E46" s="35"/>
      <c r="F46" s="35"/>
      <c r="G46" s="35"/>
      <c r="H46" s="35"/>
      <c r="I46" s="35"/>
    </row>
    <row r="47" spans="1:12">
      <c r="B47" s="26" t="s">
        <v>298</v>
      </c>
      <c r="C47" s="46"/>
      <c r="D47" s="46"/>
      <c r="E47" s="46"/>
      <c r="F47" s="46"/>
      <c r="G47" s="46"/>
      <c r="H47" s="46"/>
      <c r="I47" s="46"/>
      <c r="J47" s="46"/>
    </row>
    <row r="48" spans="1:12">
      <c r="B48" s="130" t="s">
        <v>45</v>
      </c>
      <c r="C48" s="55" t="s">
        <v>22</v>
      </c>
      <c r="D48" s="55" t="s">
        <v>98</v>
      </c>
      <c r="E48" s="55" t="s">
        <v>99</v>
      </c>
      <c r="F48" s="55" t="s">
        <v>100</v>
      </c>
      <c r="G48" s="55" t="s">
        <v>101</v>
      </c>
      <c r="H48" s="55" t="s">
        <v>102</v>
      </c>
      <c r="I48" s="55" t="s">
        <v>103</v>
      </c>
      <c r="J48" s="46"/>
      <c r="K48" s="46"/>
    </row>
    <row r="49" spans="2:11">
      <c r="B49" s="130" t="s">
        <v>299</v>
      </c>
      <c r="C49" s="55" t="s">
        <v>300</v>
      </c>
      <c r="D49" s="55" t="s">
        <v>372</v>
      </c>
      <c r="E49" s="55"/>
      <c r="F49" s="55"/>
      <c r="G49" s="55" t="s">
        <v>304</v>
      </c>
      <c r="H49" s="55" t="s">
        <v>300</v>
      </c>
      <c r="I49" s="55" t="s">
        <v>301</v>
      </c>
      <c r="J49" s="46"/>
      <c r="K49" s="46"/>
    </row>
    <row r="50" spans="2:11">
      <c r="B50" s="128" t="s">
        <v>88</v>
      </c>
      <c r="C50" s="83"/>
      <c r="D50" s="358" t="s">
        <v>606</v>
      </c>
      <c r="E50" s="83">
        <v>75</v>
      </c>
      <c r="F50" s="83">
        <v>75</v>
      </c>
      <c r="G50" s="83">
        <v>360</v>
      </c>
      <c r="H50" s="83">
        <v>360</v>
      </c>
      <c r="I50" s="83">
        <v>360</v>
      </c>
      <c r="J50" s="46"/>
      <c r="K50" s="46"/>
    </row>
    <row r="51" spans="2:11">
      <c r="B51" s="128" t="s">
        <v>305</v>
      </c>
      <c r="C51" s="62"/>
      <c r="D51" s="359" t="s">
        <v>606</v>
      </c>
      <c r="E51" s="62">
        <f>AVERAGE('PPAJr-StartUp'!E26:E30)+(0.02*AVERAGE('PPAJr-StartUp'!E26:E30))</f>
        <v>55.284000000000006</v>
      </c>
      <c r="F51" s="62">
        <f t="shared" ref="F51:I53" si="4">E51+(0.02*E51)</f>
        <v>56.389680000000006</v>
      </c>
      <c r="G51" s="62">
        <f t="shared" si="4"/>
        <v>57.517473600000002</v>
      </c>
      <c r="H51" s="62">
        <f t="shared" si="4"/>
        <v>58.667823072000004</v>
      </c>
      <c r="I51" s="62">
        <f t="shared" si="4"/>
        <v>59.841179533440005</v>
      </c>
      <c r="J51" s="46"/>
      <c r="K51" s="46"/>
    </row>
    <row r="52" spans="2:11">
      <c r="B52" s="128" t="s">
        <v>306</v>
      </c>
      <c r="C52" s="62"/>
      <c r="D52" s="62">
        <v>450</v>
      </c>
      <c r="E52" s="62">
        <v>1000</v>
      </c>
      <c r="F52" s="62">
        <f t="shared" si="4"/>
        <v>1020</v>
      </c>
      <c r="G52" s="62">
        <f t="shared" si="4"/>
        <v>1040.4000000000001</v>
      </c>
      <c r="H52" s="62">
        <f t="shared" si="4"/>
        <v>1061.2080000000001</v>
      </c>
      <c r="I52" s="62">
        <f t="shared" si="4"/>
        <v>1082.4321600000001</v>
      </c>
      <c r="J52" s="46"/>
      <c r="K52" s="46"/>
    </row>
    <row r="53" spans="2:11">
      <c r="B53" s="128" t="s">
        <v>307</v>
      </c>
      <c r="C53" s="62"/>
      <c r="D53" s="62">
        <v>800</v>
      </c>
      <c r="E53" s="62">
        <v>1250</v>
      </c>
      <c r="F53" s="62">
        <f t="shared" si="4"/>
        <v>1275</v>
      </c>
      <c r="G53" s="62">
        <f t="shared" si="4"/>
        <v>1300.5</v>
      </c>
      <c r="H53" s="62">
        <f t="shared" si="4"/>
        <v>1326.51</v>
      </c>
      <c r="I53" s="62">
        <f t="shared" si="4"/>
        <v>1353.0401999999999</v>
      </c>
      <c r="J53" s="46"/>
      <c r="K53" s="46"/>
    </row>
    <row r="54" spans="2:11">
      <c r="B54" s="42" t="s">
        <v>286</v>
      </c>
      <c r="C54" s="132">
        <f>(C50*C51)+C52+C53</f>
        <v>0</v>
      </c>
      <c r="D54" s="132">
        <f>D52+D53+SUM('PPAJr-StartUp'!N26:N31)</f>
        <v>30275</v>
      </c>
      <c r="E54" s="132">
        <f t="shared" ref="E54:I54" si="5">(E50*E51)+E52+E53</f>
        <v>6396.3</v>
      </c>
      <c r="F54" s="132">
        <f t="shared" si="5"/>
        <v>6524.2260000000006</v>
      </c>
      <c r="G54" s="132">
        <f t="shared" si="5"/>
        <v>23047.190496000003</v>
      </c>
      <c r="H54" s="132">
        <f t="shared" si="5"/>
        <v>23508.134305919997</v>
      </c>
      <c r="I54" s="132">
        <f t="shared" si="5"/>
        <v>23978.296992038402</v>
      </c>
      <c r="J54" s="46"/>
      <c r="K54" s="46"/>
    </row>
    <row r="55" spans="2:11"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2:11">
      <c r="B56" s="46" t="s">
        <v>308</v>
      </c>
      <c r="C56" s="46"/>
      <c r="D56" s="46"/>
      <c r="E56" s="46"/>
      <c r="F56" s="46"/>
      <c r="G56" s="46"/>
      <c r="H56" s="46"/>
      <c r="I56" s="46"/>
      <c r="J56" s="46"/>
      <c r="K56" s="46"/>
    </row>
    <row r="57" spans="2:11">
      <c r="B57" s="130" t="s">
        <v>45</v>
      </c>
      <c r="C57" s="55" t="s">
        <v>22</v>
      </c>
      <c r="D57" s="55" t="s">
        <v>98</v>
      </c>
      <c r="E57" s="55" t="s">
        <v>99</v>
      </c>
      <c r="F57" s="55" t="s">
        <v>100</v>
      </c>
      <c r="G57" s="55" t="s">
        <v>101</v>
      </c>
      <c r="H57" s="55" t="s">
        <v>102</v>
      </c>
      <c r="I57" s="55" t="s">
        <v>103</v>
      </c>
      <c r="J57" s="46"/>
      <c r="K57" s="46"/>
    </row>
    <row r="58" spans="2:11">
      <c r="B58" s="128" t="s">
        <v>309</v>
      </c>
      <c r="C58" s="62"/>
      <c r="D58" s="62">
        <f>(750*12)+550</f>
        <v>9550</v>
      </c>
      <c r="E58" s="62">
        <f>(699*12)+550</f>
        <v>8938</v>
      </c>
      <c r="F58" s="62">
        <f>(850*12)+700</f>
        <v>10900</v>
      </c>
      <c r="G58" s="62">
        <f>(850*12)+700</f>
        <v>10900</v>
      </c>
      <c r="H58" s="62">
        <f>(850*12)+700</f>
        <v>10900</v>
      </c>
      <c r="I58" s="62">
        <f>(850*12)+700</f>
        <v>10900</v>
      </c>
      <c r="J58" s="46"/>
      <c r="K58" s="46"/>
    </row>
    <row r="59" spans="2:11" ht="15">
      <c r="B59" s="128" t="s">
        <v>311</v>
      </c>
      <c r="C59" s="52"/>
      <c r="D59" s="52">
        <v>0</v>
      </c>
      <c r="E59" s="52">
        <v>0</v>
      </c>
      <c r="F59" s="52">
        <v>2000</v>
      </c>
      <c r="G59" s="52">
        <v>3000</v>
      </c>
      <c r="H59" s="52">
        <v>4000</v>
      </c>
      <c r="I59" s="52">
        <v>5000</v>
      </c>
      <c r="J59" s="46"/>
      <c r="K59" s="46"/>
    </row>
    <row r="60" spans="2:11">
      <c r="B60" s="128" t="s">
        <v>310</v>
      </c>
      <c r="C60" s="134"/>
      <c r="D60" s="134">
        <v>8.9999999999999993E-3</v>
      </c>
      <c r="E60" s="134">
        <v>8.9999999999999993E-3</v>
      </c>
      <c r="F60" s="134">
        <v>8.9999999999999993E-3</v>
      </c>
      <c r="G60" s="134">
        <v>8.9999999999999993E-3</v>
      </c>
      <c r="H60" s="134">
        <v>8.9999999999999993E-3</v>
      </c>
      <c r="I60" s="134">
        <v>8.9999999999999993E-3</v>
      </c>
      <c r="J60" s="46"/>
      <c r="K60" s="46"/>
    </row>
    <row r="61" spans="2:11">
      <c r="B61" s="42" t="s">
        <v>286</v>
      </c>
      <c r="C61" s="132">
        <f>C58+(C59*12*C60)</f>
        <v>0</v>
      </c>
      <c r="D61" s="132">
        <f t="shared" ref="D61:I61" si="6">D58+(D59*12*D60)</f>
        <v>9550</v>
      </c>
      <c r="E61" s="132">
        <f t="shared" si="6"/>
        <v>8938</v>
      </c>
      <c r="F61" s="132">
        <f t="shared" si="6"/>
        <v>11116</v>
      </c>
      <c r="G61" s="132">
        <f t="shared" si="6"/>
        <v>11224</v>
      </c>
      <c r="H61" s="132">
        <f t="shared" si="6"/>
        <v>11332</v>
      </c>
      <c r="I61" s="132">
        <f t="shared" si="6"/>
        <v>11440</v>
      </c>
      <c r="J61" s="46"/>
      <c r="K61" s="46"/>
    </row>
    <row r="62" spans="2:11"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2:11">
      <c r="B63" s="46" t="s">
        <v>312</v>
      </c>
      <c r="C63" s="46"/>
      <c r="D63" s="46"/>
      <c r="E63" s="46"/>
      <c r="F63" s="46"/>
      <c r="G63" s="46"/>
      <c r="H63" s="46"/>
      <c r="I63" s="46"/>
      <c r="J63" s="46"/>
      <c r="K63" s="46"/>
    </row>
    <row r="64" spans="2:11">
      <c r="B64" s="130" t="s">
        <v>45</v>
      </c>
      <c r="C64" s="55" t="s">
        <v>22</v>
      </c>
      <c r="D64" s="55" t="s">
        <v>98</v>
      </c>
      <c r="E64" s="55" t="s">
        <v>99</v>
      </c>
      <c r="F64" s="55" t="s">
        <v>100</v>
      </c>
      <c r="G64" s="55" t="s">
        <v>101</v>
      </c>
      <c r="H64" s="55" t="s">
        <v>102</v>
      </c>
      <c r="I64" s="55" t="s">
        <v>103</v>
      </c>
      <c r="J64" s="46"/>
      <c r="K64" s="46"/>
    </row>
    <row r="65" spans="2:11">
      <c r="B65" s="128" t="s">
        <v>313</v>
      </c>
      <c r="C65" s="62"/>
      <c r="D65" s="62">
        <v>40.200000000000003</v>
      </c>
      <c r="E65" s="62">
        <f>(0.005*D65)+D65</f>
        <v>40.401000000000003</v>
      </c>
      <c r="F65" s="62">
        <f>(0.005*E65)+E65</f>
        <v>40.603005000000003</v>
      </c>
      <c r="G65" s="62">
        <f>(0.005*F65)+F65</f>
        <v>40.806020025000002</v>
      </c>
      <c r="H65" s="62">
        <f>(0.005*G65)+G65</f>
        <v>41.010050125125005</v>
      </c>
      <c r="I65" s="62">
        <f>(0.005*H65)+H65</f>
        <v>41.21510037575063</v>
      </c>
      <c r="J65" s="46"/>
      <c r="K65" s="46"/>
    </row>
    <row r="66" spans="2:11">
      <c r="B66" s="128" t="s">
        <v>328</v>
      </c>
      <c r="C66" s="62"/>
      <c r="D66" s="62">
        <v>2</v>
      </c>
      <c r="E66" s="62">
        <v>2.25</v>
      </c>
      <c r="F66" s="62">
        <v>2.5</v>
      </c>
      <c r="G66" s="62">
        <v>2.75</v>
      </c>
      <c r="H66" s="62">
        <v>3</v>
      </c>
      <c r="I66" s="62">
        <v>3.25</v>
      </c>
      <c r="J66" s="46"/>
      <c r="K66" s="46"/>
    </row>
    <row r="67" spans="2:11">
      <c r="B67" s="128" t="s">
        <v>315</v>
      </c>
      <c r="C67" s="62"/>
      <c r="D67" s="62">
        <v>0.50249999999999995</v>
      </c>
      <c r="E67" s="62">
        <f t="shared" ref="E67:I76" si="7">(0.005*D67)+D67</f>
        <v>0.50501249999999998</v>
      </c>
      <c r="F67" s="62">
        <f t="shared" si="7"/>
        <v>0.50753756249999993</v>
      </c>
      <c r="G67" s="62">
        <f t="shared" si="7"/>
        <v>0.51007525031249989</v>
      </c>
      <c r="H67" s="62">
        <f t="shared" si="7"/>
        <v>0.51262562656406241</v>
      </c>
      <c r="I67" s="62">
        <f t="shared" si="7"/>
        <v>0.51518875469688274</v>
      </c>
      <c r="J67" s="46"/>
      <c r="K67" s="46"/>
    </row>
    <row r="68" spans="2:11">
      <c r="B68" s="128" t="s">
        <v>314</v>
      </c>
      <c r="C68" s="62"/>
      <c r="D68" s="62">
        <v>1.0049999999999999</v>
      </c>
      <c r="E68" s="62">
        <f t="shared" si="7"/>
        <v>1.010025</v>
      </c>
      <c r="F68" s="62">
        <f t="shared" si="7"/>
        <v>1.0150751249999999</v>
      </c>
      <c r="G68" s="62">
        <f t="shared" si="7"/>
        <v>1.0201505006249998</v>
      </c>
      <c r="H68" s="62">
        <f t="shared" si="7"/>
        <v>1.0252512531281248</v>
      </c>
      <c r="I68" s="62">
        <f t="shared" si="7"/>
        <v>1.0303775093937655</v>
      </c>
      <c r="J68" s="46"/>
      <c r="K68" s="46"/>
    </row>
    <row r="69" spans="2:11">
      <c r="B69" s="128" t="s">
        <v>316</v>
      </c>
      <c r="C69" s="62"/>
      <c r="D69" s="62">
        <v>0</v>
      </c>
      <c r="E69" s="62">
        <f t="shared" si="7"/>
        <v>0</v>
      </c>
      <c r="F69" s="62">
        <f t="shared" si="7"/>
        <v>0</v>
      </c>
      <c r="G69" s="62">
        <f t="shared" si="7"/>
        <v>0</v>
      </c>
      <c r="H69" s="62">
        <f t="shared" si="7"/>
        <v>0</v>
      </c>
      <c r="I69" s="62">
        <f t="shared" si="7"/>
        <v>0</v>
      </c>
      <c r="J69" s="46"/>
      <c r="K69" s="46"/>
    </row>
    <row r="70" spans="2:11">
      <c r="B70" s="128" t="s">
        <v>331</v>
      </c>
      <c r="C70" s="62"/>
      <c r="D70" s="62">
        <v>8.0399999999999991</v>
      </c>
      <c r="E70" s="62">
        <f t="shared" si="7"/>
        <v>8.0801999999999996</v>
      </c>
      <c r="F70" s="62">
        <f t="shared" si="7"/>
        <v>8.1206009999999988</v>
      </c>
      <c r="G70" s="62">
        <f t="shared" si="7"/>
        <v>8.1612040049999983</v>
      </c>
      <c r="H70" s="62">
        <f t="shared" si="7"/>
        <v>8.2020100250249985</v>
      </c>
      <c r="I70" s="62">
        <f t="shared" si="7"/>
        <v>8.2430200751501239</v>
      </c>
      <c r="J70" s="46"/>
      <c r="K70" s="46"/>
    </row>
    <row r="71" spans="2:11">
      <c r="B71" s="128" t="s">
        <v>317</v>
      </c>
      <c r="C71" s="62"/>
      <c r="D71" s="62">
        <v>11.055</v>
      </c>
      <c r="E71" s="62">
        <f t="shared" si="7"/>
        <v>11.110275</v>
      </c>
      <c r="F71" s="62">
        <f t="shared" si="7"/>
        <v>11.165826375</v>
      </c>
      <c r="G71" s="62">
        <f t="shared" si="7"/>
        <v>11.221655506875001</v>
      </c>
      <c r="H71" s="62">
        <f t="shared" si="7"/>
        <v>11.277763784409375</v>
      </c>
      <c r="I71" s="62">
        <f t="shared" si="7"/>
        <v>11.334152603331422</v>
      </c>
      <c r="J71" s="46"/>
      <c r="K71" s="46"/>
    </row>
    <row r="72" spans="2:11">
      <c r="B72" s="128" t="s">
        <v>89</v>
      </c>
      <c r="C72" s="62"/>
      <c r="D72" s="62">
        <v>20.100000000000001</v>
      </c>
      <c r="E72" s="62">
        <f t="shared" si="7"/>
        <v>20.200500000000002</v>
      </c>
      <c r="F72" s="62">
        <f t="shared" si="7"/>
        <v>20.301502500000002</v>
      </c>
      <c r="G72" s="62">
        <f t="shared" si="7"/>
        <v>20.403010012500001</v>
      </c>
      <c r="H72" s="62">
        <f t="shared" si="7"/>
        <v>20.505025062562503</v>
      </c>
      <c r="I72" s="62">
        <f t="shared" si="7"/>
        <v>20.607550187875315</v>
      </c>
      <c r="J72" s="46"/>
      <c r="K72" s="46"/>
    </row>
    <row r="73" spans="2:11">
      <c r="B73" s="128" t="s">
        <v>318</v>
      </c>
      <c r="C73" s="62"/>
      <c r="D73" s="62">
        <v>8.5425000000000004</v>
      </c>
      <c r="E73" s="62">
        <f t="shared" si="7"/>
        <v>8.5852125000000008</v>
      </c>
      <c r="F73" s="62">
        <f t="shared" si="7"/>
        <v>8.6281385625000002</v>
      </c>
      <c r="G73" s="62">
        <f t="shared" si="7"/>
        <v>8.6712792553125002</v>
      </c>
      <c r="H73" s="62">
        <f t="shared" si="7"/>
        <v>8.7146356515890631</v>
      </c>
      <c r="I73" s="62">
        <f t="shared" si="7"/>
        <v>8.7582088298470087</v>
      </c>
      <c r="J73" s="46"/>
      <c r="K73" s="46"/>
    </row>
    <row r="74" spans="2:11">
      <c r="B74" s="128" t="s">
        <v>332</v>
      </c>
      <c r="C74" s="62"/>
      <c r="D74" s="62">
        <v>19.094999999999999</v>
      </c>
      <c r="E74" s="62">
        <f t="shared" si="7"/>
        <v>19.190474999999999</v>
      </c>
      <c r="F74" s="62">
        <f t="shared" si="7"/>
        <v>19.286427374999999</v>
      </c>
      <c r="G74" s="62">
        <f t="shared" si="7"/>
        <v>19.382859511874997</v>
      </c>
      <c r="H74" s="62">
        <f t="shared" si="7"/>
        <v>19.479773809434374</v>
      </c>
      <c r="I74" s="62">
        <f t="shared" si="7"/>
        <v>19.577172678481546</v>
      </c>
      <c r="J74" s="46"/>
      <c r="K74" s="46"/>
    </row>
    <row r="75" spans="2:11">
      <c r="B75" s="128" t="s">
        <v>90</v>
      </c>
      <c r="C75" s="62"/>
      <c r="D75" s="62">
        <v>31.155000000000001</v>
      </c>
      <c r="E75" s="62">
        <f t="shared" si="7"/>
        <v>31.310775</v>
      </c>
      <c r="F75" s="62">
        <f t="shared" si="7"/>
        <v>31.467328875</v>
      </c>
      <c r="G75" s="62">
        <f t="shared" si="7"/>
        <v>31.624665519375</v>
      </c>
      <c r="H75" s="62">
        <f t="shared" si="7"/>
        <v>31.782788846971876</v>
      </c>
      <c r="I75" s="62">
        <f t="shared" si="7"/>
        <v>31.941702791206737</v>
      </c>
      <c r="J75" s="46"/>
      <c r="K75" s="46"/>
    </row>
    <row r="76" spans="2:11">
      <c r="B76" s="128" t="s">
        <v>319</v>
      </c>
      <c r="C76" s="62"/>
      <c r="D76" s="62">
        <v>4.0199999999999996</v>
      </c>
      <c r="E76" s="62">
        <f t="shared" si="7"/>
        <v>4.0400999999999998</v>
      </c>
      <c r="F76" s="62">
        <f t="shared" si="7"/>
        <v>4.0603004999999994</v>
      </c>
      <c r="G76" s="62">
        <f t="shared" si="7"/>
        <v>4.0806020024999992</v>
      </c>
      <c r="H76" s="62">
        <f t="shared" si="7"/>
        <v>4.1010050125124993</v>
      </c>
      <c r="I76" s="62">
        <f t="shared" si="7"/>
        <v>4.121510037575062</v>
      </c>
      <c r="J76" s="46"/>
      <c r="K76" s="46"/>
    </row>
    <row r="77" spans="2:11"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2:11">
      <c r="B78" s="46" t="s">
        <v>320</v>
      </c>
      <c r="C78" s="46"/>
      <c r="D78" s="46"/>
      <c r="E78" s="46"/>
      <c r="F78" s="46"/>
      <c r="G78" s="46"/>
      <c r="H78" s="46"/>
      <c r="I78" s="46"/>
      <c r="J78" s="46"/>
      <c r="K78" s="46"/>
    </row>
    <row r="79" spans="2:11">
      <c r="B79" s="130" t="s">
        <v>45</v>
      </c>
      <c r="C79" s="55" t="s">
        <v>22</v>
      </c>
      <c r="D79" s="55" t="s">
        <v>98</v>
      </c>
      <c r="E79" s="55" t="s">
        <v>99</v>
      </c>
      <c r="F79" s="55" t="s">
        <v>100</v>
      </c>
      <c r="G79" s="55" t="s">
        <v>101</v>
      </c>
      <c r="H79" s="55" t="s">
        <v>102</v>
      </c>
      <c r="I79" s="55" t="s">
        <v>103</v>
      </c>
      <c r="J79" s="46"/>
      <c r="K79" s="46"/>
    </row>
    <row r="80" spans="2:11">
      <c r="B80" s="128" t="s">
        <v>321</v>
      </c>
      <c r="C80" s="62"/>
      <c r="D80" s="62">
        <v>4545</v>
      </c>
      <c r="E80" s="62">
        <f>(0.01*D80)+D80</f>
        <v>4590.45</v>
      </c>
      <c r="F80" s="62">
        <f>(0.01*E80)+E80</f>
        <v>4636.3544999999995</v>
      </c>
      <c r="G80" s="62">
        <f>(0.01*F80)+F80</f>
        <v>4682.7180449999996</v>
      </c>
      <c r="H80" s="62">
        <f>(0.01*G80)+G80</f>
        <v>4729.5452254499996</v>
      </c>
      <c r="I80" s="62">
        <f>(0.01*H80)+H80</f>
        <v>4776.8406777044993</v>
      </c>
      <c r="J80" s="46"/>
      <c r="K80" s="46"/>
    </row>
    <row r="81" spans="2:11">
      <c r="B81" s="128" t="s">
        <v>322</v>
      </c>
      <c r="C81" s="62"/>
      <c r="D81" s="62">
        <v>1010</v>
      </c>
      <c r="E81" s="62">
        <f t="shared" ref="E81:I84" si="8">(0.01*D81)+D81</f>
        <v>1020.1</v>
      </c>
      <c r="F81" s="62">
        <f t="shared" si="8"/>
        <v>1030.3009999999999</v>
      </c>
      <c r="G81" s="62">
        <f t="shared" si="8"/>
        <v>1040.60401</v>
      </c>
      <c r="H81" s="62">
        <f t="shared" si="8"/>
        <v>1051.0100500999999</v>
      </c>
      <c r="I81" s="62">
        <f t="shared" si="8"/>
        <v>1061.5201506009998</v>
      </c>
      <c r="J81" s="46"/>
      <c r="K81" s="46"/>
    </row>
    <row r="82" spans="2:11">
      <c r="B82" s="128" t="s">
        <v>323</v>
      </c>
      <c r="C82" s="62"/>
      <c r="D82" s="360">
        <f>SUM('PPAJr-StartUp'!N18:N21)+SUM('PPAJr-StartUp'!N22:N23)</f>
        <v>19950</v>
      </c>
      <c r="E82" s="62">
        <v>25000</v>
      </c>
      <c r="F82" s="62">
        <f t="shared" si="8"/>
        <v>25250</v>
      </c>
      <c r="G82" s="62">
        <f t="shared" si="8"/>
        <v>25502.5</v>
      </c>
      <c r="H82" s="62">
        <f t="shared" si="8"/>
        <v>25757.525000000001</v>
      </c>
      <c r="I82" s="62">
        <f t="shared" si="8"/>
        <v>26015.100250000003</v>
      </c>
      <c r="J82" s="46"/>
      <c r="K82" s="46"/>
    </row>
    <row r="83" spans="2:11">
      <c r="B83" s="128" t="s">
        <v>324</v>
      </c>
      <c r="C83" s="62"/>
      <c r="D83" s="62">
        <v>0</v>
      </c>
      <c r="E83" s="62">
        <f t="shared" si="8"/>
        <v>0</v>
      </c>
      <c r="F83" s="62">
        <f t="shared" si="8"/>
        <v>0</v>
      </c>
      <c r="G83" s="62">
        <f t="shared" si="8"/>
        <v>0</v>
      </c>
      <c r="H83" s="62">
        <f t="shared" si="8"/>
        <v>0</v>
      </c>
      <c r="I83" s="62">
        <f t="shared" si="8"/>
        <v>0</v>
      </c>
      <c r="J83" s="46"/>
      <c r="K83" s="46"/>
    </row>
    <row r="84" spans="2:11">
      <c r="B84" s="128" t="s">
        <v>325</v>
      </c>
      <c r="C84" s="62"/>
      <c r="D84" s="62">
        <v>2750</v>
      </c>
      <c r="E84" s="62">
        <f t="shared" si="8"/>
        <v>2777.5</v>
      </c>
      <c r="F84" s="62">
        <f t="shared" si="8"/>
        <v>2805.2750000000001</v>
      </c>
      <c r="G84" s="62">
        <f t="shared" si="8"/>
        <v>2833.3277499999999</v>
      </c>
      <c r="H84" s="62">
        <f t="shared" si="8"/>
        <v>2861.6610274999998</v>
      </c>
      <c r="I84" s="62">
        <f t="shared" si="8"/>
        <v>2890.2776377749997</v>
      </c>
      <c r="J84" s="46"/>
      <c r="K84" s="46"/>
    </row>
    <row r="85" spans="2:11">
      <c r="C85" s="29"/>
      <c r="K85" s="29"/>
    </row>
    <row r="86" spans="2:11">
      <c r="B86" s="46" t="s">
        <v>326</v>
      </c>
      <c r="C86" s="46"/>
      <c r="D86" s="46"/>
      <c r="E86" s="46"/>
      <c r="F86" s="46"/>
      <c r="G86" s="46"/>
      <c r="H86" s="46"/>
      <c r="I86" s="46"/>
      <c r="J86" s="46"/>
      <c r="K86" s="46"/>
    </row>
    <row r="87" spans="2:11">
      <c r="B87" s="130" t="s">
        <v>45</v>
      </c>
      <c r="C87" s="55" t="s">
        <v>22</v>
      </c>
      <c r="D87" s="55" t="s">
        <v>98</v>
      </c>
      <c r="E87" s="55" t="s">
        <v>99</v>
      </c>
      <c r="F87" s="55" t="s">
        <v>100</v>
      </c>
      <c r="G87" s="55" t="s">
        <v>101</v>
      </c>
      <c r="H87" s="55" t="s">
        <v>102</v>
      </c>
      <c r="I87" s="55" t="s">
        <v>103</v>
      </c>
      <c r="J87" s="46"/>
      <c r="K87" s="46"/>
    </row>
    <row r="88" spans="2:11">
      <c r="B88" s="128" t="s">
        <v>327</v>
      </c>
      <c r="C88" s="62">
        <v>0</v>
      </c>
      <c r="D88" s="62">
        <v>500</v>
      </c>
      <c r="E88" s="62">
        <f t="shared" ref="E88:I88" si="9">(0.01*D88)+D88</f>
        <v>505</v>
      </c>
      <c r="F88" s="62">
        <f t="shared" si="9"/>
        <v>510.05</v>
      </c>
      <c r="G88" s="62">
        <f t="shared" si="9"/>
        <v>515.15049999999997</v>
      </c>
      <c r="H88" s="62">
        <f t="shared" si="9"/>
        <v>520.30200500000001</v>
      </c>
      <c r="I88" s="62">
        <f t="shared" si="9"/>
        <v>525.50502504999997</v>
      </c>
      <c r="J88" s="46"/>
      <c r="K88" s="46"/>
    </row>
    <row r="89" spans="2:11">
      <c r="B89" s="128" t="s">
        <v>92</v>
      </c>
      <c r="C89" s="62">
        <v>0</v>
      </c>
      <c r="D89" s="62">
        <f t="shared" ref="D89:I89" si="10">(0.01*C89)+C89</f>
        <v>0</v>
      </c>
      <c r="E89" s="62">
        <f t="shared" si="10"/>
        <v>0</v>
      </c>
      <c r="F89" s="62">
        <f t="shared" si="10"/>
        <v>0</v>
      </c>
      <c r="G89" s="62">
        <f t="shared" si="10"/>
        <v>0</v>
      </c>
      <c r="H89" s="62">
        <f t="shared" si="10"/>
        <v>0</v>
      </c>
      <c r="I89" s="62">
        <f t="shared" si="10"/>
        <v>0</v>
      </c>
      <c r="J89" s="46"/>
      <c r="K89" s="46"/>
    </row>
    <row r="90" spans="2:11">
      <c r="C90" s="29"/>
      <c r="K90" s="29"/>
    </row>
  </sheetData>
  <sheetProtection password="DF03" sheet="1" objects="1" scenarios="1"/>
  <mergeCells count="5">
    <mergeCell ref="B10:I10"/>
    <mergeCell ref="B16:I16"/>
    <mergeCell ref="B20:I20"/>
    <mergeCell ref="B26:I26"/>
    <mergeCell ref="B38:I38"/>
  </mergeCells>
  <pageMargins left="0.5" right="0.5" top="0.5" bottom="0.5" header="0.3" footer="0.3"/>
  <pageSetup orientation="landscape" horizontalDpi="4294967293" verticalDpi="1200" r:id="rId1"/>
  <headerFooter>
    <oddFooter>&amp;LPPA, Jr. General Questionaire&amp;CPinellas Preparatory Academy, Inc.&amp;RPage &amp;P or &amp;N</oddFooter>
  </headerFooter>
  <rowBreaks count="2" manualBreakCount="2">
    <brk id="36" max="16383" man="1"/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77"/>
  <sheetViews>
    <sheetView showGridLines="0" view="pageLayout" zoomScale="70" zoomScaleNormal="100" zoomScalePageLayoutView="70" workbookViewId="0"/>
  </sheetViews>
  <sheetFormatPr defaultRowHeight="15"/>
  <cols>
    <col min="1" max="1" width="1.7109375" style="89" customWidth="1"/>
    <col min="2" max="2" width="5.28515625" style="277" customWidth="1"/>
    <col min="3" max="3" width="34.28515625" style="89" customWidth="1"/>
    <col min="4" max="4" width="14.28515625" style="306" customWidth="1"/>
    <col min="5" max="10" width="14.28515625" style="307" customWidth="1"/>
  </cols>
  <sheetData>
    <row r="1" spans="1:10" ht="27">
      <c r="A1" s="295" t="s">
        <v>477</v>
      </c>
      <c r="B1" s="295"/>
      <c r="C1" s="295"/>
      <c r="D1" s="305"/>
      <c r="E1" s="305"/>
      <c r="F1" s="305"/>
      <c r="G1" s="305"/>
      <c r="H1" s="305"/>
      <c r="I1" s="305"/>
      <c r="J1" s="305"/>
    </row>
    <row r="2" spans="1:10" ht="15.75">
      <c r="A2" s="90" t="s">
        <v>13</v>
      </c>
      <c r="B2" s="276"/>
      <c r="C2" s="90"/>
    </row>
    <row r="3" spans="1:10" ht="20.25">
      <c r="A3" s="90"/>
      <c r="B3" s="275"/>
      <c r="C3" s="91"/>
    </row>
    <row r="4" spans="1:10" ht="20.25">
      <c r="A4" s="90"/>
      <c r="B4" s="275"/>
      <c r="C4" s="304" t="s">
        <v>206</v>
      </c>
      <c r="D4" s="308"/>
    </row>
    <row r="5" spans="1:10" ht="15.75" thickBot="1">
      <c r="D5" s="309" t="s">
        <v>22</v>
      </c>
      <c r="E5" s="309" t="s">
        <v>98</v>
      </c>
      <c r="F5" s="309" t="s">
        <v>99</v>
      </c>
      <c r="G5" s="309" t="s">
        <v>100</v>
      </c>
      <c r="H5" s="309" t="s">
        <v>101</v>
      </c>
      <c r="I5" s="309" t="s">
        <v>102</v>
      </c>
      <c r="J5" s="309" t="s">
        <v>103</v>
      </c>
    </row>
    <row r="6" spans="1:10">
      <c r="C6" s="92" t="s">
        <v>207</v>
      </c>
      <c r="D6" s="310">
        <f>'Income Estimates'!C85</f>
        <v>0</v>
      </c>
      <c r="E6" s="310">
        <f>'Income Estimates'!D85</f>
        <v>1179307</v>
      </c>
      <c r="F6" s="310">
        <f>'Income Estimates'!E85</f>
        <v>1685669.8</v>
      </c>
      <c r="G6" s="310">
        <f>'Income Estimates'!F85</f>
        <v>1820835.6558000001</v>
      </c>
      <c r="H6" s="310">
        <f>'Income Estimates'!G85</f>
        <v>2075887.5456360001</v>
      </c>
      <c r="I6" s="310">
        <f>'Income Estimates'!H85</f>
        <v>2216252.4053977495</v>
      </c>
      <c r="J6" s="310">
        <f>'Income Estimates'!I85</f>
        <v>2238414.9294517273</v>
      </c>
    </row>
    <row r="7" spans="1:10">
      <c r="C7" s="93" t="s">
        <v>208</v>
      </c>
      <c r="D7" s="310">
        <f>'Income Estimates'!C86</f>
        <v>0</v>
      </c>
      <c r="E7" s="310">
        <f>'Income Estimates'!D86</f>
        <v>70681.723200000008</v>
      </c>
      <c r="F7" s="310">
        <f>'Income Estimates'!E86</f>
        <v>91934.986176000006</v>
      </c>
      <c r="G7" s="310">
        <f>'Income Estimates'!F86</f>
        <v>90425.159573760015</v>
      </c>
      <c r="H7" s="310">
        <f>'Income Estimates'!G86</f>
        <v>93945.895824844803</v>
      </c>
      <c r="I7" s="310">
        <f>'Income Estimates'!H86</f>
        <v>91377.408706670598</v>
      </c>
      <c r="J7" s="310">
        <f>'Income Estimates'!I86</f>
        <v>84067.216010136966</v>
      </c>
    </row>
    <row r="8" spans="1:10">
      <c r="C8" s="93" t="s">
        <v>209</v>
      </c>
      <c r="D8" s="310">
        <f>'Income Estimates'!C87</f>
        <v>0</v>
      </c>
      <c r="E8" s="310">
        <f>'Income Estimates'!D87</f>
        <v>2340</v>
      </c>
      <c r="F8" s="310">
        <f>'Income Estimates'!E87</f>
        <v>3420</v>
      </c>
      <c r="G8" s="310">
        <f>'Income Estimates'!F87</f>
        <v>3800</v>
      </c>
      <c r="H8" s="310">
        <f>'Income Estimates'!G87</f>
        <v>4400</v>
      </c>
      <c r="I8" s="310">
        <f>'Income Estimates'!H87</f>
        <v>4600</v>
      </c>
      <c r="J8" s="310">
        <f>'Income Estimates'!I87</f>
        <v>4600</v>
      </c>
    </row>
    <row r="9" spans="1:10">
      <c r="C9" s="93" t="s">
        <v>210</v>
      </c>
      <c r="D9" s="311"/>
      <c r="E9" s="311"/>
      <c r="F9" s="311"/>
      <c r="G9" s="311"/>
      <c r="H9" s="311"/>
      <c r="I9" s="311"/>
      <c r="J9" s="311"/>
    </row>
    <row r="10" spans="1:10" ht="15.75" thickBot="1">
      <c r="C10" s="94" t="s">
        <v>211</v>
      </c>
      <c r="D10" s="312"/>
      <c r="E10" s="312"/>
      <c r="F10" s="312"/>
      <c r="G10" s="312"/>
      <c r="H10" s="312"/>
      <c r="I10" s="312"/>
      <c r="J10" s="312"/>
    </row>
    <row r="11" spans="1:10" ht="15.75" thickBot="1">
      <c r="C11" s="95" t="s">
        <v>212</v>
      </c>
      <c r="D11" s="313">
        <f t="shared" ref="D11:J11" si="0">SUM(D6:D10)</f>
        <v>0</v>
      </c>
      <c r="E11" s="313">
        <f t="shared" si="0"/>
        <v>1252328.7231999999</v>
      </c>
      <c r="F11" s="313">
        <f t="shared" si="0"/>
        <v>1781024.786176</v>
      </c>
      <c r="G11" s="313">
        <f t="shared" si="0"/>
        <v>1915060.8153737602</v>
      </c>
      <c r="H11" s="313">
        <f t="shared" si="0"/>
        <v>2174233.4414608451</v>
      </c>
      <c r="I11" s="313">
        <f t="shared" si="0"/>
        <v>2312229.8141044201</v>
      </c>
      <c r="J11" s="313">
        <f t="shared" si="0"/>
        <v>2327082.1454618643</v>
      </c>
    </row>
    <row r="12" spans="1:10">
      <c r="B12" s="278"/>
    </row>
    <row r="13" spans="1:10">
      <c r="B13" s="279" t="s">
        <v>213</v>
      </c>
      <c r="C13" s="96"/>
    </row>
    <row r="14" spans="1:10" ht="15.75" thickBot="1">
      <c r="B14" s="279" t="s">
        <v>214</v>
      </c>
      <c r="C14" s="97" t="s">
        <v>51</v>
      </c>
    </row>
    <row r="15" spans="1:10">
      <c r="A15" s="98"/>
      <c r="B15" s="421" t="s">
        <v>215</v>
      </c>
      <c r="C15" s="421"/>
    </row>
    <row r="16" spans="1:10">
      <c r="A16" s="99"/>
      <c r="B16" s="280">
        <v>100</v>
      </c>
      <c r="C16" s="101" t="s">
        <v>216</v>
      </c>
    </row>
    <row r="17" spans="1:10">
      <c r="A17" s="99"/>
      <c r="B17" s="278">
        <v>120</v>
      </c>
      <c r="C17" s="102" t="s">
        <v>217</v>
      </c>
      <c r="D17" s="310">
        <f>+'PPAJr-Staff'!C123+'PPAJr-General'!C88</f>
        <v>0</v>
      </c>
      <c r="E17" s="310">
        <f>+'PPAJr-Staff'!D123+'PPAJr-General'!D88</f>
        <v>388972.93814432982</v>
      </c>
      <c r="F17" s="310">
        <f>+'PPAJr-Staff'!E123+'PPAJr-General'!E88</f>
        <v>552654.53608247428</v>
      </c>
      <c r="G17" s="310">
        <f>+'PPAJr-Staff'!F123+'PPAJr-General'!F88</f>
        <v>595237.24072164949</v>
      </c>
      <c r="H17" s="310">
        <f>+'PPAJr-Staff'!G123+'PPAJr-General'!G88</f>
        <v>694622.52163402049</v>
      </c>
      <c r="I17" s="310">
        <f>+'PPAJr-Staff'!H123+'PPAJr-General'!H88</f>
        <v>746351.600974072</v>
      </c>
      <c r="J17" s="310">
        <f>+'PPAJr-Staff'!I123+'PPAJr-General'!I88</f>
        <v>778543.03079824569</v>
      </c>
    </row>
    <row r="18" spans="1:10">
      <c r="A18" s="99"/>
      <c r="B18" s="278">
        <v>130</v>
      </c>
      <c r="C18" s="103" t="s">
        <v>218</v>
      </c>
      <c r="D18" s="310">
        <f>+'PPAJr-Staff'!C124+SharedStaff!C137</f>
        <v>0</v>
      </c>
      <c r="E18" s="310">
        <f>+'PPAJr-Staff'!D124+SharedStaff!D137</f>
        <v>116541.88144329895</v>
      </c>
      <c r="F18" s="310">
        <f>+'PPAJr-Staff'!E124+SharedStaff!E137</f>
        <v>157757.01030927835</v>
      </c>
      <c r="G18" s="310">
        <f>+'PPAJr-Staff'!F124+SharedStaff!F137</f>
        <v>166523.61340206186</v>
      </c>
      <c r="H18" s="310">
        <f>+'PPAJr-Staff'!G124+SharedStaff!G137</f>
        <v>195983.25773195873</v>
      </c>
      <c r="I18" s="310">
        <f>+'PPAJr-Staff'!H124+SharedStaff!H137</f>
        <v>203031.85360824736</v>
      </c>
      <c r="J18" s="310">
        <f>+'PPAJr-Staff'!I124+SharedStaff!I137</f>
        <v>211793.65979381435</v>
      </c>
    </row>
    <row r="19" spans="1:10">
      <c r="A19" s="99"/>
      <c r="B19" s="281">
        <v>140</v>
      </c>
      <c r="C19" s="104" t="s">
        <v>219</v>
      </c>
      <c r="D19" s="310">
        <f>+'PPAJr-Staff'!C76</f>
        <v>0</v>
      </c>
      <c r="E19" s="310">
        <f>+'PPAJr-Staff'!D76</f>
        <v>12240</v>
      </c>
      <c r="F19" s="310">
        <f>+'PPAJr-Staff'!E76</f>
        <v>16490</v>
      </c>
      <c r="G19" s="310">
        <f>+'PPAJr-Staff'!F76</f>
        <v>17680</v>
      </c>
      <c r="H19" s="310">
        <f>+'PPAJr-Staff'!G76</f>
        <v>21870</v>
      </c>
      <c r="I19" s="310">
        <f>+'PPAJr-Staff'!H76</f>
        <v>22860.000000000004</v>
      </c>
      <c r="J19" s="310">
        <f>+'PPAJr-Staff'!I76</f>
        <v>22860.000000000004</v>
      </c>
    </row>
    <row r="20" spans="1:10">
      <c r="A20" s="99"/>
      <c r="B20" s="281">
        <v>150</v>
      </c>
      <c r="C20" s="104" t="s">
        <v>54</v>
      </c>
      <c r="D20" s="310">
        <f>+'PPAJr-Staff'!C125+SharedStaff!C138</f>
        <v>0</v>
      </c>
      <c r="E20" s="310">
        <f>+'PPAJr-Staff'!D125+SharedStaff!D138</f>
        <v>43297.777479892757</v>
      </c>
      <c r="F20" s="310">
        <f>+'PPAJr-Staff'!E125+SharedStaff!E138</f>
        <v>60561.668117962465</v>
      </c>
      <c r="G20" s="310">
        <f>+'PPAJr-Staff'!F125+SharedStaff!F138</f>
        <v>64688.134563002677</v>
      </c>
      <c r="H20" s="310">
        <f>+'PPAJr-Staff'!G125+SharedStaff!G138</f>
        <v>72680.025780160839</v>
      </c>
      <c r="I20" s="310">
        <f>+'PPAJr-Staff'!H125+SharedStaff!H138</f>
        <v>76906.892868632698</v>
      </c>
      <c r="J20" s="310">
        <f>+'PPAJr-Staff'!I125+SharedStaff!I138</f>
        <v>77308.495442359243</v>
      </c>
    </row>
    <row r="21" spans="1:10">
      <c r="A21" s="99"/>
      <c r="B21" s="281">
        <v>220</v>
      </c>
      <c r="C21" s="104" t="s">
        <v>65</v>
      </c>
      <c r="D21" s="310">
        <f>+'PPAJr-Staff'!C126+SharedStaff!C139</f>
        <v>0</v>
      </c>
      <c r="E21" s="310">
        <f>+'PPAJr-Staff'!D126+SharedStaff!D139</f>
        <v>41945.913675665397</v>
      </c>
      <c r="F21" s="310">
        <f>+'PPAJr-Staff'!E126+SharedStaff!E139</f>
        <v>58940.818409993204</v>
      </c>
      <c r="G21" s="310">
        <f>+'PPAJr-Staff'!F126+SharedStaff!F139</f>
        <v>63184.328809533625</v>
      </c>
      <c r="H21" s="310">
        <f>+'PPAJr-Staff'!G126+SharedStaff!G139</f>
        <v>73651.955080429718</v>
      </c>
      <c r="I21" s="310">
        <f>+'PPAJr-Staff'!H126+SharedStaff!H139</f>
        <v>78471.408476615339</v>
      </c>
      <c r="J21" s="310">
        <f>+'PPAJr-Staff'!I126+SharedStaff!I139</f>
        <v>81634.655597216741</v>
      </c>
    </row>
    <row r="22" spans="1:10">
      <c r="A22" s="99"/>
      <c r="B22" s="281">
        <v>240</v>
      </c>
      <c r="C22" s="104" t="s">
        <v>220</v>
      </c>
      <c r="D22" s="310">
        <f>+SharedStaff!C140+'PPAJr-Staff'!C127</f>
        <v>0</v>
      </c>
      <c r="E22" s="310">
        <f>+SharedStaff!D140+'PPAJr-Staff'!D127</f>
        <v>2906.0567644578641</v>
      </c>
      <c r="F22" s="310">
        <f>+SharedStaff!E140+'PPAJr-Staff'!E127</f>
        <v>4083.48153690149</v>
      </c>
      <c r="G22" s="310">
        <f>+SharedStaff!F140+'PPAJr-Staff'!F127</f>
        <v>4377.4763750395841</v>
      </c>
      <c r="H22" s="310">
        <f>+SharedStaff!G140+'PPAJr-Staff'!G127</f>
        <v>5102.6844696245425</v>
      </c>
      <c r="I22" s="310">
        <f>+SharedStaff!H140+'PPAJr-Staff'!H127</f>
        <v>5436.5812408635466</v>
      </c>
      <c r="J22" s="310">
        <f>+SharedStaff!I140+'PPAJr-Staff'!I127</f>
        <v>5655.7343093496565</v>
      </c>
    </row>
    <row r="23" spans="1:10">
      <c r="A23" s="99"/>
      <c r="B23" s="281">
        <v>290</v>
      </c>
      <c r="C23" s="104" t="s">
        <v>221</v>
      </c>
      <c r="D23" s="310">
        <f>+'PPAJr-Staff'!C129+SharedStaff!C142</f>
        <v>0</v>
      </c>
      <c r="E23" s="310">
        <f>+'PPAJr-Staff'!D129+SharedStaff!D142</f>
        <v>84988.452545465843</v>
      </c>
      <c r="F23" s="310">
        <f>+'PPAJr-Staff'!E129+SharedStaff!E142</f>
        <v>119422.57324900584</v>
      </c>
      <c r="G23" s="310">
        <f>+'PPAJr-Staff'!F129+SharedStaff!F142</f>
        <v>128020.53549644067</v>
      </c>
      <c r="H23" s="310">
        <f>+'PPAJr-Staff'!G129+SharedStaff!G142</f>
        <v>149229.45147015172</v>
      </c>
      <c r="I23" s="310">
        <f>+'PPAJr-Staff'!H129+SharedStaff!H142</f>
        <v>158994.35704412256</v>
      </c>
      <c r="J23" s="310">
        <f>+'PPAJr-Staff'!I129+SharedStaff!I142</f>
        <v>165403.55055645222</v>
      </c>
    </row>
    <row r="24" spans="1:10">
      <c r="A24" s="99"/>
      <c r="B24" s="282">
        <v>250</v>
      </c>
      <c r="C24" s="104" t="s">
        <v>222</v>
      </c>
      <c r="D24" s="310">
        <f>+SharedStaff!C141+'PPAJr-Staff'!C128</f>
        <v>0</v>
      </c>
      <c r="E24" s="310">
        <f>+SharedStaff!D141+'PPAJr-Staff'!D128</f>
        <v>6912</v>
      </c>
      <c r="F24" s="310">
        <f>+SharedStaff!E141+'PPAJr-Staff'!E128</f>
        <v>8640</v>
      </c>
      <c r="G24" s="310">
        <f>+SharedStaff!F141+'PPAJr-Staff'!F128</f>
        <v>8505</v>
      </c>
      <c r="H24" s="310">
        <f>+SharedStaff!G141+'PPAJr-Staff'!G128</f>
        <v>8694</v>
      </c>
      <c r="I24" s="310">
        <f>+SharedStaff!H141+'PPAJr-Staff'!H128</f>
        <v>8424</v>
      </c>
      <c r="J24" s="310">
        <f>+SharedStaff!I141+'PPAJr-Staff'!I128</f>
        <v>7776</v>
      </c>
    </row>
    <row r="25" spans="1:10">
      <c r="A25" s="99"/>
      <c r="B25" s="281">
        <v>510</v>
      </c>
      <c r="C25" s="104" t="s">
        <v>223</v>
      </c>
      <c r="D25" s="310">
        <f>'PPAJr-Staff'!C29*'PPAJr-General'!C65+'PPAJr-General'!C89</f>
        <v>0</v>
      </c>
      <c r="E25" s="310">
        <f>'PPAJr-Staff'!D29*'PPAJr-General'!D65+'PPAJr-General'!D89+SUM('PPAJr-StartUp'!N9:N15)</f>
        <v>13494.8</v>
      </c>
      <c r="F25" s="310">
        <f>'PPAJr-Staff'!E29*'PPAJr-General'!E65+'PPAJr-General'!E89</f>
        <v>9938.6460000000006</v>
      </c>
      <c r="G25" s="310">
        <f>'PPAJr-Staff'!F29*'PPAJr-General'!F65+'PPAJr-General'!F89</f>
        <v>10678.590315000001</v>
      </c>
      <c r="H25" s="310">
        <f>'PPAJr-Staff'!G29*'PPAJr-General'!G65+'PPAJr-General'!G89</f>
        <v>12119.387947425001</v>
      </c>
      <c r="I25" s="310">
        <f>'PPAJr-Staff'!H29*'PPAJr-General'!H65+'PPAJr-General'!H89</f>
        <v>12877.155739289252</v>
      </c>
      <c r="J25" s="310">
        <f>'PPAJr-Staff'!I29*'PPAJr-General'!I65+'PPAJr-General'!I89</f>
        <v>12941.541517985697</v>
      </c>
    </row>
    <row r="26" spans="1:10">
      <c r="A26" s="99"/>
      <c r="B26" s="281">
        <v>520</v>
      </c>
      <c r="C26" s="104" t="s">
        <v>224</v>
      </c>
      <c r="D26" s="310">
        <f>'PPAJr-General'!C54</f>
        <v>0</v>
      </c>
      <c r="E26" s="310">
        <f>'PPAJr-General'!D54</f>
        <v>30275</v>
      </c>
      <c r="F26" s="310">
        <f>'PPAJr-General'!E54</f>
        <v>6396.3</v>
      </c>
      <c r="G26" s="310">
        <f>'PPAJr-General'!F54</f>
        <v>6524.2260000000006</v>
      </c>
      <c r="H26" s="310">
        <f>'PPAJr-General'!G54</f>
        <v>23047.190496000003</v>
      </c>
      <c r="I26" s="310">
        <f>'PPAJr-General'!H54</f>
        <v>23508.134305919997</v>
      </c>
      <c r="J26" s="310">
        <f>'PPAJr-General'!I54</f>
        <v>23978.296992038402</v>
      </c>
    </row>
    <row r="27" spans="1:10">
      <c r="A27" s="99"/>
      <c r="B27" s="281">
        <v>610</v>
      </c>
      <c r="C27" s="104" t="s">
        <v>225</v>
      </c>
      <c r="D27" s="310">
        <f>'PPAJr-Staff'!C29*'PPAJr-General'!C66</f>
        <v>0</v>
      </c>
      <c r="E27" s="310">
        <f>'PPAJr-Staff'!D29*'PPAJr-General'!D66</f>
        <v>348</v>
      </c>
      <c r="F27" s="310">
        <f>'PPAJr-Staff'!E29*'PPAJr-General'!E66</f>
        <v>553.5</v>
      </c>
      <c r="G27" s="310">
        <f>'PPAJr-Staff'!F29*'PPAJr-General'!F66</f>
        <v>657.5</v>
      </c>
      <c r="H27" s="310">
        <f>'PPAJr-Staff'!G29*'PPAJr-General'!G66</f>
        <v>816.75</v>
      </c>
      <c r="I27" s="310">
        <f>'PPAJr-Staff'!H29*'PPAJr-General'!H66</f>
        <v>942</v>
      </c>
      <c r="J27" s="310">
        <f>'PPAJr-Staff'!I29*'PPAJr-General'!I66</f>
        <v>1020.5</v>
      </c>
    </row>
    <row r="28" spans="1:10">
      <c r="A28" s="99"/>
      <c r="B28" s="281">
        <v>644</v>
      </c>
      <c r="C28" s="104" t="s">
        <v>226</v>
      </c>
      <c r="D28" s="310">
        <f>'PPAJr-General'!C82+'PPAJr-General'!C81</f>
        <v>0</v>
      </c>
      <c r="E28" s="310">
        <f>'PPAJr-General'!D82+'PPAJr-General'!D81</f>
        <v>20960</v>
      </c>
      <c r="F28" s="310">
        <f>'PPAJr-General'!E82+'PPAJr-General'!E81</f>
        <v>26020.1</v>
      </c>
      <c r="G28" s="310">
        <f>'PPAJr-General'!F82+'PPAJr-General'!F81</f>
        <v>26280.300999999999</v>
      </c>
      <c r="H28" s="310">
        <f>'PPAJr-General'!G82+'PPAJr-General'!G81</f>
        <v>26543.104009999999</v>
      </c>
      <c r="I28" s="310">
        <f>'PPAJr-General'!H82+'PPAJr-General'!H81</f>
        <v>26808.535050100003</v>
      </c>
      <c r="J28" s="310">
        <f>'PPAJr-General'!I82+'PPAJr-General'!I81</f>
        <v>27076.620400601001</v>
      </c>
    </row>
    <row r="29" spans="1:10">
      <c r="A29" s="99"/>
      <c r="B29" s="281">
        <v>691</v>
      </c>
      <c r="C29" s="104" t="s">
        <v>227</v>
      </c>
      <c r="D29" s="310">
        <f>'PPAJr-General'!C83+'PPAJr-General'!C84</f>
        <v>0</v>
      </c>
      <c r="E29" s="310">
        <f>'PPAJr-General'!D83+'PPAJr-General'!D84</f>
        <v>2750</v>
      </c>
      <c r="F29" s="310">
        <f>'PPAJr-General'!E83+'PPAJr-General'!E84</f>
        <v>2777.5</v>
      </c>
      <c r="G29" s="310">
        <f>'PPAJr-General'!F83+'PPAJr-General'!F84</f>
        <v>2805.2750000000001</v>
      </c>
      <c r="H29" s="310">
        <f>'PPAJr-General'!G83+'PPAJr-General'!G84</f>
        <v>2833.3277499999999</v>
      </c>
      <c r="I29" s="310">
        <f>'PPAJr-General'!H83+'PPAJr-General'!H84</f>
        <v>2861.6610274999998</v>
      </c>
      <c r="J29" s="310">
        <f>'PPAJr-General'!I83+'PPAJr-General'!I84</f>
        <v>2890.2776377749997</v>
      </c>
    </row>
    <row r="30" spans="1:10">
      <c r="A30" s="99"/>
      <c r="B30" s="281">
        <v>730</v>
      </c>
      <c r="C30" s="104" t="s">
        <v>228</v>
      </c>
      <c r="D30" s="310">
        <f>'PPAJr-Staff'!C29*'PPAJr-General'!C67</f>
        <v>0</v>
      </c>
      <c r="E30" s="310">
        <f>'PPAJr-Staff'!D29*'PPAJr-General'!D67</f>
        <v>87.434999999999988</v>
      </c>
      <c r="F30" s="310">
        <f>'PPAJr-Staff'!E29*'PPAJr-General'!E67</f>
        <v>124.233075</v>
      </c>
      <c r="G30" s="310">
        <f>'PPAJr-Staff'!F29*'PPAJr-General'!F67</f>
        <v>133.48237893749999</v>
      </c>
      <c r="H30" s="310">
        <f>'PPAJr-Staff'!G29*'PPAJr-General'!G67</f>
        <v>151.49234934281247</v>
      </c>
      <c r="I30" s="310">
        <f>'PPAJr-Staff'!H29*'PPAJr-General'!H67</f>
        <v>160.96444674111561</v>
      </c>
      <c r="J30" s="310">
        <f>'PPAJr-Staff'!I29*'PPAJr-General'!I67</f>
        <v>161.76926897482119</v>
      </c>
    </row>
    <row r="31" spans="1:10" ht="15.75" thickBot="1">
      <c r="A31" s="105"/>
      <c r="B31" s="283"/>
      <c r="C31" s="106" t="s">
        <v>229</v>
      </c>
      <c r="D31" s="314">
        <f>SUM(D17:D30)</f>
        <v>0</v>
      </c>
      <c r="E31" s="314">
        <f t="shared" ref="E31:J31" si="1">SUM(E17:E30)</f>
        <v>765720.25505311065</v>
      </c>
      <c r="F31" s="314">
        <f t="shared" si="1"/>
        <v>1024360.3667806155</v>
      </c>
      <c r="G31" s="314">
        <f t="shared" si="1"/>
        <v>1095295.7040616653</v>
      </c>
      <c r="H31" s="314">
        <f t="shared" si="1"/>
        <v>1287345.148719114</v>
      </c>
      <c r="I31" s="314">
        <f t="shared" si="1"/>
        <v>1367635.1447821038</v>
      </c>
      <c r="J31" s="314">
        <f t="shared" si="1"/>
        <v>1419044.1323148131</v>
      </c>
    </row>
    <row r="32" spans="1:10" ht="15.75" thickBot="1">
      <c r="A32" s="107"/>
      <c r="B32" s="284"/>
      <c r="C32" s="108"/>
      <c r="E32" s="306"/>
      <c r="F32" s="306"/>
      <c r="G32" s="306"/>
      <c r="H32" s="306"/>
      <c r="I32" s="306"/>
      <c r="J32" s="306"/>
    </row>
    <row r="33" spans="1:10">
      <c r="A33" s="98"/>
      <c r="B33" s="421" t="s">
        <v>230</v>
      </c>
      <c r="C33" s="421"/>
      <c r="E33" s="306"/>
      <c r="F33" s="306"/>
      <c r="G33" s="306"/>
      <c r="H33" s="306"/>
      <c r="I33" s="306"/>
      <c r="J33" s="306"/>
    </row>
    <row r="34" spans="1:10">
      <c r="A34" s="99"/>
      <c r="B34" s="280">
        <v>100</v>
      </c>
      <c r="C34" s="101" t="s">
        <v>216</v>
      </c>
      <c r="E34" s="306"/>
      <c r="F34" s="306"/>
      <c r="G34" s="306"/>
      <c r="H34" s="306"/>
      <c r="I34" s="306"/>
      <c r="J34" s="306"/>
    </row>
    <row r="35" spans="1:10">
      <c r="A35" s="99"/>
      <c r="B35" s="278">
        <v>130</v>
      </c>
      <c r="C35" s="102" t="s">
        <v>231</v>
      </c>
      <c r="D35" s="310">
        <f>+SharedStaff!C145+'PPAJr-Staff'!C132</f>
        <v>0</v>
      </c>
      <c r="E35" s="310">
        <f>+SharedStaff!D145+'PPAJr-Staff'!D132</f>
        <v>21966.469694349296</v>
      </c>
      <c r="F35" s="310">
        <f>+SharedStaff!E145+'PPAJr-Staff'!E132</f>
        <v>24006.160936588214</v>
      </c>
      <c r="G35" s="310">
        <f>+SharedStaff!F145+'PPAJr-Staff'!F132</f>
        <v>23789.087628865978</v>
      </c>
      <c r="H35" s="310">
        <f>+SharedStaff!G145+'PPAJr-Staff'!G132</f>
        <v>40829.845360824736</v>
      </c>
      <c r="I35" s="310">
        <f>+SharedStaff!H145+'PPAJr-Staff'!H132</f>
        <v>41435.072164948448</v>
      </c>
      <c r="J35" s="310">
        <f>+SharedStaff!I145+'PPAJr-Staff'!I132</f>
        <v>43223.19587628865</v>
      </c>
    </row>
    <row r="36" spans="1:10">
      <c r="A36" s="99"/>
      <c r="B36" s="281">
        <v>220</v>
      </c>
      <c r="C36" s="104" t="s">
        <v>65</v>
      </c>
      <c r="D36" s="310">
        <f>+'PPAJr-Staff'!C133+SharedStaff!C146</f>
        <v>0</v>
      </c>
      <c r="E36" s="310">
        <f>+'PPAJr-Staff'!D133+SharedStaff!D146</f>
        <v>1680.4349316177213</v>
      </c>
      <c r="F36" s="310">
        <f>+'PPAJr-Staff'!E133+SharedStaff!E146</f>
        <v>1836.4713116489984</v>
      </c>
      <c r="G36" s="310">
        <f>+'PPAJr-Staff'!F133+SharedStaff!F146</f>
        <v>1819.8652036082474</v>
      </c>
      <c r="H36" s="310">
        <f>+'PPAJr-Staff'!G133+SharedStaff!G146</f>
        <v>3123.4831701030921</v>
      </c>
      <c r="I36" s="310">
        <f>+'PPAJr-Staff'!H133+SharedStaff!H146</f>
        <v>3169.7830206185563</v>
      </c>
      <c r="J36" s="310">
        <f>+'PPAJr-Staff'!I133+SharedStaff!I146</f>
        <v>3306.5744845360819</v>
      </c>
    </row>
    <row r="37" spans="1:10">
      <c r="A37" s="99"/>
      <c r="B37" s="281">
        <v>240</v>
      </c>
      <c r="C37" s="104" t="s">
        <v>220</v>
      </c>
      <c r="D37" s="310">
        <f>+SharedStaff!C147+'PPAJr-Staff'!C134</f>
        <v>0</v>
      </c>
      <c r="E37" s="310">
        <f>+SharedStaff!D147+'PPAJr-Staff'!D134</f>
        <v>116.42228938005127</v>
      </c>
      <c r="F37" s="310">
        <f>+SharedStaff!E147+'PPAJr-Staff'!E134</f>
        <v>127.23265296391753</v>
      </c>
      <c r="G37" s="310">
        <f>+SharedStaff!F147+'PPAJr-Staff'!F134</f>
        <v>126.08216443298969</v>
      </c>
      <c r="H37" s="310">
        <f>+SharedStaff!G147+'PPAJr-Staff'!G134</f>
        <v>216.39818041237109</v>
      </c>
      <c r="I37" s="310">
        <f>+SharedStaff!H147+'PPAJr-Staff'!H134</f>
        <v>219.60588247422677</v>
      </c>
      <c r="J37" s="310">
        <f>+SharedStaff!I147+'PPAJr-Staff'!I134</f>
        <v>229.08293814432986</v>
      </c>
    </row>
    <row r="38" spans="1:10">
      <c r="A38" s="99"/>
      <c r="B38" s="282">
        <v>250</v>
      </c>
      <c r="C38" s="104" t="s">
        <v>222</v>
      </c>
      <c r="D38" s="310">
        <f>+'PPAJr-Staff'!C135+SharedStaff!C148</f>
        <v>0</v>
      </c>
      <c r="E38" s="310">
        <f>+'PPAJr-Staff'!D135+SharedStaff!D148</f>
        <v>239.43829787234046</v>
      </c>
      <c r="F38" s="310">
        <f>+'PPAJr-Staff'!E135+SharedStaff!E148</f>
        <v>256.34716981132078</v>
      </c>
      <c r="G38" s="310">
        <f>+'PPAJr-Staff'!F135+SharedStaff!F148</f>
        <v>243</v>
      </c>
      <c r="H38" s="310">
        <f>+'PPAJr-Staff'!G135+SharedStaff!G148</f>
        <v>378</v>
      </c>
      <c r="I38" s="310">
        <f>+'PPAJr-Staff'!H135+SharedStaff!H148</f>
        <v>351</v>
      </c>
      <c r="J38" s="310">
        <f>+'PPAJr-Staff'!I135+SharedStaff!I148</f>
        <v>324</v>
      </c>
    </row>
    <row r="39" spans="1:10">
      <c r="A39" s="99"/>
      <c r="B39" s="281">
        <v>290</v>
      </c>
      <c r="C39" s="104" t="s">
        <v>221</v>
      </c>
      <c r="D39" s="310">
        <f>+SharedStaff!C149+'PPAJr-Staff'!C136</f>
        <v>0</v>
      </c>
      <c r="E39" s="310">
        <f>+SharedStaff!D149+'PPAJr-Staff'!D136</f>
        <v>3404.8028026241409</v>
      </c>
      <c r="F39" s="310">
        <f>+SharedStaff!E149+'PPAJr-Staff'!E136</f>
        <v>3720.9549451711737</v>
      </c>
      <c r="G39" s="310">
        <f>+SharedStaff!F149+'PPAJr-Staff'!F136</f>
        <v>3687.3085824742266</v>
      </c>
      <c r="H39" s="310">
        <f>+SharedStaff!G149+'PPAJr-Staff'!G136</f>
        <v>6328.6260309278341</v>
      </c>
      <c r="I39" s="310">
        <f>+SharedStaff!H149+'PPAJr-Staff'!H136</f>
        <v>6422.4361855670095</v>
      </c>
      <c r="J39" s="310">
        <f>+SharedStaff!I149+'PPAJr-Staff'!I136</f>
        <v>6699.595360824741</v>
      </c>
    </row>
    <row r="40" spans="1:10">
      <c r="A40" s="99"/>
      <c r="B40" s="281">
        <v>310</v>
      </c>
      <c r="C40" s="104" t="s">
        <v>232</v>
      </c>
      <c r="D40" s="310">
        <f>'PPAJr-General'!C14</f>
        <v>0</v>
      </c>
      <c r="E40" s="310">
        <f>'PPAJr-General'!D14</f>
        <v>7668</v>
      </c>
      <c r="F40" s="310">
        <f>'PPAJr-General'!E14</f>
        <v>10368</v>
      </c>
      <c r="G40" s="310">
        <f>'PPAJr-General'!F14</f>
        <v>13140</v>
      </c>
      <c r="H40" s="310">
        <f>'PPAJr-General'!G14</f>
        <v>15984</v>
      </c>
      <c r="I40" s="310">
        <f>'PPAJr-General'!H14</f>
        <v>17550</v>
      </c>
      <c r="J40" s="310">
        <f>'PPAJr-General'!I14</f>
        <v>18468</v>
      </c>
    </row>
    <row r="41" spans="1:10">
      <c r="A41" s="99"/>
      <c r="B41" s="281">
        <v>510</v>
      </c>
      <c r="C41" s="104" t="s">
        <v>223</v>
      </c>
      <c r="D41" s="310">
        <f>'PPAJr-Staff'!C29*'PPAJr-General'!C68</f>
        <v>0</v>
      </c>
      <c r="E41" s="310">
        <f>'PPAJr-Staff'!D29*'PPAJr-General'!D68</f>
        <v>174.86999999999998</v>
      </c>
      <c r="F41" s="310">
        <f>'PPAJr-Staff'!E29*'PPAJr-General'!E68</f>
        <v>248.46615</v>
      </c>
      <c r="G41" s="310">
        <f>'PPAJr-Staff'!F29*'PPAJr-General'!F68</f>
        <v>266.96475787499998</v>
      </c>
      <c r="H41" s="310">
        <f>'PPAJr-Staff'!G29*'PPAJr-General'!G68</f>
        <v>302.98469868562495</v>
      </c>
      <c r="I41" s="310">
        <f>'PPAJr-Staff'!H29*'PPAJr-General'!H68</f>
        <v>321.92889348223122</v>
      </c>
      <c r="J41" s="310">
        <f>'PPAJr-Staff'!I29*'PPAJr-General'!I68</f>
        <v>323.53853794964238</v>
      </c>
    </row>
    <row r="42" spans="1:10">
      <c r="A42" s="99"/>
      <c r="B42" s="281">
        <v>730</v>
      </c>
      <c r="C42" s="104" t="s">
        <v>228</v>
      </c>
      <c r="D42" s="310">
        <f>'PPAJr-Staff'!C29*'PPAJr-General'!C69</f>
        <v>0</v>
      </c>
      <c r="E42" s="310">
        <f>'PPAJr-Staff'!D29*'PPAJr-General'!D69</f>
        <v>0</v>
      </c>
      <c r="F42" s="310">
        <f>'PPAJr-Staff'!E29*'PPAJr-General'!E69</f>
        <v>0</v>
      </c>
      <c r="G42" s="310">
        <f>'PPAJr-Staff'!F29*'PPAJr-General'!F69</f>
        <v>0</v>
      </c>
      <c r="H42" s="310">
        <f>'PPAJr-Staff'!G29*'PPAJr-General'!G69</f>
        <v>0</v>
      </c>
      <c r="I42" s="310">
        <f>'PPAJr-Staff'!H29*'PPAJr-General'!H69</f>
        <v>0</v>
      </c>
      <c r="J42" s="310">
        <f>'PPAJr-Staff'!I29*'PPAJr-General'!I69</f>
        <v>0</v>
      </c>
    </row>
    <row r="43" spans="1:10" ht="15.75" thickBot="1">
      <c r="A43" s="105"/>
      <c r="B43" s="283"/>
      <c r="C43" s="106" t="s">
        <v>229</v>
      </c>
      <c r="D43" s="314">
        <f t="shared" ref="D43:J43" si="2">SUM(D35:D42)</f>
        <v>0</v>
      </c>
      <c r="E43" s="314">
        <f t="shared" si="2"/>
        <v>35250.438015843552</v>
      </c>
      <c r="F43" s="314">
        <f t="shared" si="2"/>
        <v>40563.633166183623</v>
      </c>
      <c r="G43" s="314">
        <f t="shared" si="2"/>
        <v>43072.308337256443</v>
      </c>
      <c r="H43" s="314">
        <f t="shared" si="2"/>
        <v>67163.337440953663</v>
      </c>
      <c r="I43" s="314">
        <f t="shared" si="2"/>
        <v>69469.826147090469</v>
      </c>
      <c r="J43" s="314">
        <f t="shared" si="2"/>
        <v>72573.987197743452</v>
      </c>
    </row>
    <row r="44" spans="1:10" ht="15.75" thickBot="1">
      <c r="A44" s="107"/>
      <c r="B44" s="284"/>
      <c r="C44" s="108"/>
      <c r="E44" s="306"/>
      <c r="F44" s="306"/>
      <c r="G44" s="306"/>
      <c r="H44" s="306"/>
      <c r="I44" s="306"/>
      <c r="J44" s="306"/>
    </row>
    <row r="45" spans="1:10">
      <c r="A45" s="98"/>
      <c r="B45" s="421" t="s">
        <v>233</v>
      </c>
      <c r="C45" s="421"/>
      <c r="E45" s="306"/>
      <c r="F45" s="306"/>
      <c r="G45" s="306"/>
      <c r="H45" s="306"/>
      <c r="I45" s="306"/>
      <c r="J45" s="306"/>
    </row>
    <row r="46" spans="1:10">
      <c r="A46" s="99"/>
      <c r="B46" s="422" t="s">
        <v>234</v>
      </c>
      <c r="C46" s="422"/>
      <c r="E46" s="306"/>
      <c r="F46" s="306"/>
      <c r="G46" s="306"/>
      <c r="H46" s="306"/>
      <c r="I46" s="306"/>
      <c r="J46" s="306"/>
    </row>
    <row r="47" spans="1:10">
      <c r="A47" s="99"/>
      <c r="B47" s="285">
        <v>310</v>
      </c>
      <c r="C47" s="109" t="s">
        <v>235</v>
      </c>
      <c r="D47" s="310">
        <f>'PPAJr-Staff'!C29*'PPAJr-General'!C40</f>
        <v>0</v>
      </c>
      <c r="E47" s="310">
        <f>'PPAJr-Staff'!D29*'PPAJr-General'!D40</f>
        <v>1064.8800000000001</v>
      </c>
      <c r="F47" s="310">
        <f>'PPAJr-Staff'!E29*'PPAJr-General'!E40</f>
        <v>1535.6304</v>
      </c>
      <c r="G47" s="310">
        <f>'PPAJr-Staff'!F29*'PPAJr-General'!F40</f>
        <v>1674.5862239999999</v>
      </c>
      <c r="H47" s="310">
        <f>'PPAJr-Staff'!G29*'PPAJr-General'!G40</f>
        <v>1928.8941091200002</v>
      </c>
      <c r="I47" s="310">
        <f>'PPAJr-Staff'!H29*'PPAJr-General'!H40</f>
        <v>2080.0882332288002</v>
      </c>
      <c r="J47" s="310">
        <f>'PPAJr-Staff'!I29*'PPAJr-General'!I40</f>
        <v>2121.6899978933761</v>
      </c>
    </row>
    <row r="48" spans="1:10">
      <c r="A48" s="99"/>
      <c r="B48" s="285">
        <v>330</v>
      </c>
      <c r="C48" s="109" t="s">
        <v>236</v>
      </c>
      <c r="D48" s="310">
        <f>'PPAJr-Staff'!C29*'PPAJr-General'!C41</f>
        <v>0</v>
      </c>
      <c r="E48" s="310">
        <f>'PPAJr-Staff'!D29*'PPAJr-General'!D41</f>
        <v>177.48</v>
      </c>
      <c r="F48" s="310">
        <f>'PPAJr-Staff'!E29*'PPAJr-General'!E41</f>
        <v>255.9384</v>
      </c>
      <c r="G48" s="310">
        <f>'PPAJr-Staff'!F29*'PPAJr-General'!F41</f>
        <v>279.09770399999996</v>
      </c>
      <c r="H48" s="310">
        <f>'PPAJr-Staff'!G29*'PPAJr-General'!G41</f>
        <v>321.48235152000001</v>
      </c>
      <c r="I48" s="310">
        <f>'PPAJr-Staff'!H29*'PPAJr-General'!H41</f>
        <v>346.68137220480003</v>
      </c>
      <c r="J48" s="310">
        <f>'PPAJr-Staff'!I29*'PPAJr-General'!I41</f>
        <v>353.614999648896</v>
      </c>
    </row>
    <row r="49" spans="1:10">
      <c r="A49" s="99"/>
      <c r="B49" s="285">
        <v>140</v>
      </c>
      <c r="C49" s="109" t="s">
        <v>219</v>
      </c>
      <c r="D49" s="310">
        <f>'PPAJr-Staff'!C29*'PPAJr-General'!C42</f>
        <v>0</v>
      </c>
      <c r="E49" s="310">
        <f>'PPAJr-Staff'!D29*'PPAJr-General'!D42</f>
        <v>348</v>
      </c>
      <c r="F49" s="310">
        <f>'PPAJr-Staff'!E29*'PPAJr-General'!E42</f>
        <v>501.84000000000003</v>
      </c>
      <c r="G49" s="310">
        <f>'PPAJr-Staff'!F29*'PPAJr-General'!F42</f>
        <v>547.25040000000001</v>
      </c>
      <c r="H49" s="310">
        <f>'PPAJr-Staff'!G29*'PPAJr-General'!G42</f>
        <v>630.35755199999994</v>
      </c>
      <c r="I49" s="310">
        <f>'PPAJr-Staff'!H29*'PPAJr-General'!H42</f>
        <v>679.76739648</v>
      </c>
      <c r="J49" s="310">
        <f>'PPAJr-Staff'!I29*'PPAJr-General'!I42</f>
        <v>693.36274440960005</v>
      </c>
    </row>
    <row r="50" spans="1:10">
      <c r="A50" s="99"/>
      <c r="B50" s="285">
        <v>510</v>
      </c>
      <c r="C50" s="109" t="s">
        <v>237</v>
      </c>
      <c r="D50" s="310">
        <f>'PPAJr-Staff'!C29*'PPAJr-General'!C43</f>
        <v>0</v>
      </c>
      <c r="E50" s="310">
        <f>'PPAJr-Staff'!D29*'PPAJr-General'!D43</f>
        <v>177.48</v>
      </c>
      <c r="F50" s="310">
        <f>'PPAJr-Staff'!E29*'PPAJr-General'!E43</f>
        <v>255.9384</v>
      </c>
      <c r="G50" s="310">
        <f>'PPAJr-Staff'!F29*'PPAJr-General'!F43</f>
        <v>279.09770399999996</v>
      </c>
      <c r="H50" s="310">
        <f>'PPAJr-Staff'!G29*'PPAJr-General'!G43</f>
        <v>321.48235152000001</v>
      </c>
      <c r="I50" s="310">
        <f>'PPAJr-Staff'!H29*'PPAJr-General'!H43</f>
        <v>346.68137220480003</v>
      </c>
      <c r="J50" s="310">
        <f>'PPAJr-Staff'!I29*'PPAJr-General'!I43</f>
        <v>353.614999648896</v>
      </c>
    </row>
    <row r="51" spans="1:10" ht="15.75" thickBot="1">
      <c r="A51" s="105"/>
      <c r="B51" s="286"/>
      <c r="C51" s="106" t="s">
        <v>238</v>
      </c>
      <c r="D51" s="314">
        <f>SUM(D47:D50)</f>
        <v>0</v>
      </c>
      <c r="E51" s="314">
        <f t="shared" ref="E51:J51" si="3">SUM(E47:E50)</f>
        <v>1767.8400000000001</v>
      </c>
      <c r="F51" s="314">
        <f t="shared" si="3"/>
        <v>2549.3472000000002</v>
      </c>
      <c r="G51" s="314">
        <f t="shared" si="3"/>
        <v>2780.0320319999996</v>
      </c>
      <c r="H51" s="314">
        <f t="shared" si="3"/>
        <v>3202.21636416</v>
      </c>
      <c r="I51" s="314">
        <f t="shared" si="3"/>
        <v>3453.2183741184003</v>
      </c>
      <c r="J51" s="314">
        <f t="shared" si="3"/>
        <v>3522.2827416007685</v>
      </c>
    </row>
    <row r="52" spans="1:10">
      <c r="B52" s="278"/>
      <c r="C52" s="97"/>
      <c r="E52" s="306"/>
      <c r="F52" s="306"/>
      <c r="G52" s="306"/>
      <c r="H52" s="306"/>
      <c r="I52" s="306"/>
      <c r="J52" s="306"/>
    </row>
    <row r="53" spans="1:10" ht="18.75" thickBot="1">
      <c r="A53" s="110"/>
      <c r="B53" s="423" t="s">
        <v>239</v>
      </c>
      <c r="C53" s="423"/>
      <c r="E53" s="306"/>
      <c r="F53" s="306"/>
      <c r="G53" s="306"/>
      <c r="H53" s="306"/>
      <c r="I53" s="306"/>
      <c r="J53" s="306"/>
    </row>
    <row r="54" spans="1:10">
      <c r="A54" s="98"/>
      <c r="B54" s="419" t="s">
        <v>240</v>
      </c>
      <c r="C54" s="419"/>
      <c r="E54" s="306"/>
      <c r="F54" s="306"/>
      <c r="G54" s="306"/>
      <c r="H54" s="306"/>
      <c r="I54" s="306"/>
      <c r="J54" s="306"/>
    </row>
    <row r="55" spans="1:10">
      <c r="A55" s="99"/>
      <c r="B55" s="285">
        <v>310</v>
      </c>
      <c r="C55" s="109" t="s">
        <v>241</v>
      </c>
      <c r="D55" s="310">
        <f>'PPAJr-General'!C18</f>
        <v>3500</v>
      </c>
      <c r="E55" s="310">
        <f>'PPAJr-General'!D18</f>
        <v>6250</v>
      </c>
      <c r="F55" s="310">
        <f>'PPAJr-General'!E18</f>
        <v>6500</v>
      </c>
      <c r="G55" s="310">
        <f>'PPAJr-General'!F18</f>
        <v>6750</v>
      </c>
      <c r="H55" s="310">
        <f>'PPAJr-General'!G18</f>
        <v>7000</v>
      </c>
      <c r="I55" s="310">
        <f>'PPAJr-General'!H18</f>
        <v>7250</v>
      </c>
      <c r="J55" s="310">
        <f>'PPAJr-General'!I18</f>
        <v>7500</v>
      </c>
    </row>
    <row r="56" spans="1:10">
      <c r="A56" s="99"/>
      <c r="B56" s="285">
        <v>320</v>
      </c>
      <c r="C56" s="111" t="s">
        <v>242</v>
      </c>
      <c r="D56" s="310">
        <f>'PPAJr-General'!C33+Facilities!C173</f>
        <v>0</v>
      </c>
      <c r="E56" s="310">
        <f>'PPAJr-General'!D33+Facilities!D173</f>
        <v>12750.189198036007</v>
      </c>
      <c r="F56" s="310">
        <f>'PPAJr-General'!E33+Facilities!E173</f>
        <v>15915.178679245284</v>
      </c>
      <c r="G56" s="310">
        <f>'PPAJr-General'!F33+Facilities!F173</f>
        <v>18902.306530611379</v>
      </c>
      <c r="H56" s="310">
        <f>'PPAJr-General'!G33+Facilities!G173</f>
        <v>21402.972688383608</v>
      </c>
      <c r="I56" s="310">
        <f>'PPAJr-General'!H33+Facilities!H173</f>
        <v>23703.165010448552</v>
      </c>
      <c r="J56" s="310">
        <f>'PPAJr-General'!I33+Facilities!I173</f>
        <v>24097.536667938293</v>
      </c>
    </row>
    <row r="57" spans="1:10" ht="15.75" thickBot="1">
      <c r="A57" s="105"/>
      <c r="B57" s="287"/>
      <c r="C57" s="106" t="s">
        <v>243</v>
      </c>
      <c r="D57" s="314">
        <f>SUM(D55:D56)</f>
        <v>3500</v>
      </c>
      <c r="E57" s="314">
        <f t="shared" ref="E57:J57" si="4">SUM(E55:E56)</f>
        <v>19000.189198036009</v>
      </c>
      <c r="F57" s="314">
        <f t="shared" si="4"/>
        <v>22415.178679245284</v>
      </c>
      <c r="G57" s="314">
        <f t="shared" si="4"/>
        <v>25652.306530611379</v>
      </c>
      <c r="H57" s="314">
        <f t="shared" si="4"/>
        <v>28402.972688383608</v>
      </c>
      <c r="I57" s="314">
        <f t="shared" si="4"/>
        <v>30953.165010448552</v>
      </c>
      <c r="J57" s="314">
        <f t="shared" si="4"/>
        <v>31597.536667938293</v>
      </c>
    </row>
    <row r="58" spans="1:10" ht="15.75" thickBot="1">
      <c r="A58" s="107"/>
      <c r="B58" s="288"/>
      <c r="C58" s="108"/>
      <c r="E58" s="306"/>
      <c r="F58" s="306"/>
      <c r="G58" s="306"/>
      <c r="H58" s="306"/>
      <c r="I58" s="306"/>
      <c r="J58" s="306"/>
    </row>
    <row r="59" spans="1:10">
      <c r="A59" s="98"/>
      <c r="B59" s="419" t="s">
        <v>244</v>
      </c>
      <c r="C59" s="419"/>
      <c r="E59" s="306"/>
      <c r="F59" s="306"/>
      <c r="G59" s="306"/>
      <c r="H59" s="306"/>
      <c r="I59" s="306"/>
      <c r="J59" s="306"/>
    </row>
    <row r="60" spans="1:10">
      <c r="A60" s="99"/>
      <c r="B60" s="285">
        <v>730</v>
      </c>
      <c r="C60" s="109" t="s">
        <v>245</v>
      </c>
      <c r="D60" s="310">
        <f>'Income Estimates'!C100</f>
        <v>0</v>
      </c>
      <c r="E60" s="310">
        <f>'Income Estimates'!D100</f>
        <v>84720.330459770121</v>
      </c>
      <c r="F60" s="310">
        <f>'Income Estimates'!E100</f>
        <v>85653.953252032516</v>
      </c>
      <c r="G60" s="310">
        <f>'Income Estimates'!F100</f>
        <v>86541.618621673028</v>
      </c>
      <c r="H60" s="310">
        <f>'Income Estimates'!G100</f>
        <v>87369.00444595961</v>
      </c>
      <c r="I60" s="310">
        <f>'Income Estimates'!H100</f>
        <v>88226.608495133347</v>
      </c>
      <c r="J60" s="310">
        <f>'Income Estimates'!I100</f>
        <v>89108.874580084681</v>
      </c>
    </row>
    <row r="61" spans="1:10" ht="15.75" thickBot="1">
      <c r="A61" s="105"/>
      <c r="B61" s="289"/>
      <c r="C61" s="112" t="s">
        <v>246</v>
      </c>
      <c r="D61" s="314">
        <f>D60</f>
        <v>0</v>
      </c>
      <c r="E61" s="314">
        <f t="shared" ref="E61:J61" si="5">E60</f>
        <v>84720.330459770121</v>
      </c>
      <c r="F61" s="314">
        <f t="shared" si="5"/>
        <v>85653.953252032516</v>
      </c>
      <c r="G61" s="314">
        <f t="shared" si="5"/>
        <v>86541.618621673028</v>
      </c>
      <c r="H61" s="314">
        <f t="shared" si="5"/>
        <v>87369.00444595961</v>
      </c>
      <c r="I61" s="314">
        <f t="shared" si="5"/>
        <v>88226.608495133347</v>
      </c>
      <c r="J61" s="314">
        <f t="shared" si="5"/>
        <v>89108.874580084681</v>
      </c>
    </row>
    <row r="62" spans="1:10" ht="15.75" thickBot="1">
      <c r="B62" s="290"/>
      <c r="C62" s="113"/>
      <c r="E62" s="306"/>
      <c r="F62" s="306"/>
      <c r="G62" s="306"/>
      <c r="H62" s="306"/>
      <c r="I62" s="306"/>
      <c r="J62" s="306"/>
    </row>
    <row r="63" spans="1:10">
      <c r="A63" s="98"/>
      <c r="B63" s="419" t="s">
        <v>247</v>
      </c>
      <c r="C63" s="419"/>
      <c r="E63" s="306"/>
      <c r="F63" s="306"/>
      <c r="G63" s="306"/>
      <c r="H63" s="306"/>
      <c r="I63" s="306"/>
      <c r="J63" s="306"/>
    </row>
    <row r="64" spans="1:10">
      <c r="A64" s="99"/>
      <c r="B64" s="281">
        <v>100</v>
      </c>
      <c r="C64" s="104" t="s">
        <v>216</v>
      </c>
      <c r="E64" s="306"/>
      <c r="F64" s="306"/>
      <c r="G64" s="306"/>
      <c r="H64" s="306"/>
      <c r="I64" s="306"/>
      <c r="J64" s="306"/>
    </row>
    <row r="65" spans="1:10">
      <c r="A65" s="99"/>
      <c r="B65" s="281">
        <v>110</v>
      </c>
      <c r="C65" s="104" t="s">
        <v>248</v>
      </c>
      <c r="D65" s="310">
        <f>+SharedStaff!C152+'PPAJr-Staff'!C139</f>
        <v>9666.6666666666661</v>
      </c>
      <c r="E65" s="310">
        <f>+SharedStaff!D152+'PPAJr-Staff'!D139</f>
        <v>83679.22537219782</v>
      </c>
      <c r="F65" s="310">
        <f>+SharedStaff!E152+'PPAJr-Staff'!E139</f>
        <v>90165.950933279382</v>
      </c>
      <c r="G65" s="310">
        <f>+SharedStaff!F152+'PPAJr-Staff'!F139</f>
        <v>91882.649466886185</v>
      </c>
      <c r="H65" s="310">
        <f>+SharedStaff!G152+'PPAJr-Staff'!G139</f>
        <v>94672.48505566809</v>
      </c>
      <c r="I65" s="310">
        <f>+SharedStaff!H152+'PPAJr-Staff'!H139</f>
        <v>96244.058798440179</v>
      </c>
      <c r="J65" s="310">
        <f>+SharedStaff!I152+'PPAJr-Staff'!I139</f>
        <v>96746.6387399464</v>
      </c>
    </row>
    <row r="66" spans="1:10">
      <c r="A66" s="99"/>
      <c r="B66" s="281">
        <v>160</v>
      </c>
      <c r="C66" s="104" t="s">
        <v>249</v>
      </c>
      <c r="D66" s="310">
        <f>+'PPAJr-Staff'!C140+SharedStaff!C153</f>
        <v>0</v>
      </c>
      <c r="E66" s="310">
        <f>+'PPAJr-Staff'!D140+SharedStaff!D153</f>
        <v>29249.046403513777</v>
      </c>
      <c r="F66" s="310">
        <f>+'PPAJr-Staff'!E140+SharedStaff!E153</f>
        <v>36718.457072183723</v>
      </c>
      <c r="G66" s="310">
        <f>+'PPAJr-Staff'!F140+SharedStaff!F153</f>
        <v>38412.591131958499</v>
      </c>
      <c r="H66" s="310">
        <f>+'PPAJr-Staff'!G140+SharedStaff!G153</f>
        <v>41406.018318835835</v>
      </c>
      <c r="I66" s="310">
        <f>+'PPAJr-Staff'!H140+SharedStaff!H153</f>
        <v>42924.443560809166</v>
      </c>
      <c r="J66" s="310">
        <f>+'PPAJr-Staff'!I140+SharedStaff!I153</f>
        <v>43148.592091152823</v>
      </c>
    </row>
    <row r="67" spans="1:10">
      <c r="A67" s="99"/>
      <c r="B67" s="281">
        <v>220</v>
      </c>
      <c r="C67" s="104" t="s">
        <v>65</v>
      </c>
      <c r="D67" s="310">
        <f>+SharedStaff!C154+'PPAJr-Staff'!C141</f>
        <v>739.49999999999989</v>
      </c>
      <c r="E67" s="310">
        <f>+SharedStaff!D154+'PPAJr-Staff'!D141</f>
        <v>8639.0127908419381</v>
      </c>
      <c r="F67" s="310">
        <f>+SharedStaff!E154+'PPAJr-Staff'!E141</f>
        <v>9706.6572124179274</v>
      </c>
      <c r="G67" s="310">
        <f>+SharedStaff!F154+'PPAJr-Staff'!F141</f>
        <v>9967.5859058116184</v>
      </c>
      <c r="H67" s="310">
        <f>+SharedStaff!G154+'PPAJr-Staff'!G141</f>
        <v>10410.00550814955</v>
      </c>
      <c r="I67" s="310">
        <f>+SharedStaff!H154+'PPAJr-Staff'!H141</f>
        <v>10646.390430482574</v>
      </c>
      <c r="J67" s="310">
        <f>+SharedStaff!I154+'PPAJr-Staff'!I141</f>
        <v>10701.985158579089</v>
      </c>
    </row>
    <row r="68" spans="1:10">
      <c r="A68" s="99"/>
      <c r="B68" s="281">
        <v>240</v>
      </c>
      <c r="C68" s="104" t="s">
        <v>220</v>
      </c>
      <c r="D68" s="310">
        <f>+'PPAJr-Staff'!C142+SharedStaff!C155</f>
        <v>51.233333333333327</v>
      </c>
      <c r="E68" s="310">
        <f>+'PPAJr-Staff'!D142+SharedStaff!D155</f>
        <v>598.5198404112715</v>
      </c>
      <c r="F68" s="310">
        <f>+'PPAJr-Staff'!E142+SharedStaff!E155</f>
        <v>672.4873624289545</v>
      </c>
      <c r="G68" s="310">
        <f>+'PPAJr-Staff'!F142+SharedStaff!F155</f>
        <v>690.5647751738768</v>
      </c>
      <c r="H68" s="310">
        <f>+'PPAJr-Staff'!G142+SharedStaff!G155</f>
        <v>721.21606788487088</v>
      </c>
      <c r="I68" s="310">
        <f>+'PPAJr-Staff'!H142+SharedStaff!H155</f>
        <v>737.59306250402165</v>
      </c>
      <c r="J68" s="310">
        <f>+'PPAJr-Staff'!I142+SharedStaff!I155</f>
        <v>741.44472340482594</v>
      </c>
    </row>
    <row r="69" spans="1:10">
      <c r="A69" s="99"/>
      <c r="B69" s="281">
        <v>250</v>
      </c>
      <c r="C69" s="104" t="s">
        <v>222</v>
      </c>
      <c r="D69" s="310">
        <f>+SharedStaff!C156+'PPAJr-Staff'!C143</f>
        <v>62.999999999999993</v>
      </c>
      <c r="E69" s="310">
        <f>+SharedStaff!D156+'PPAJr-Staff'!D143</f>
        <v>965.10638297872345</v>
      </c>
      <c r="F69" s="310">
        <f>+SharedStaff!E156+'PPAJr-Staff'!E143</f>
        <v>1100.3773584905662</v>
      </c>
      <c r="G69" s="310">
        <f>+SharedStaff!F156+'PPAJr-Staff'!F143</f>
        <v>1057.4655436447167</v>
      </c>
      <c r="H69" s="310">
        <f>+SharedStaff!G156+'PPAJr-Staff'!G143</f>
        <v>1031.6593886462883</v>
      </c>
      <c r="I69" s="310">
        <f>+SharedStaff!H156+'PPAJr-Staff'!H143</f>
        <v>977.21590909090912</v>
      </c>
      <c r="J69" s="310">
        <f>+SharedStaff!I156+'PPAJr-Staff'!I143</f>
        <v>902.04545454545462</v>
      </c>
    </row>
    <row r="70" spans="1:10">
      <c r="A70" s="99"/>
      <c r="B70" s="281">
        <v>290</v>
      </c>
      <c r="C70" s="104" t="s">
        <v>221</v>
      </c>
      <c r="D70" s="310">
        <f>+'PPAJr-Staff'!C144+SharedStaff!C157</f>
        <v>1498.3333333333333</v>
      </c>
      <c r="E70" s="310">
        <f>+'PPAJr-Staff'!D144+SharedStaff!D157</f>
        <v>17503.882125235297</v>
      </c>
      <c r="F70" s="310">
        <f>+'PPAJr-Staff'!E144+SharedStaff!E157</f>
        <v>19667.08324084678</v>
      </c>
      <c r="G70" s="310">
        <f>+'PPAJr-Staff'!F144+SharedStaff!F157</f>
        <v>20195.762292820928</v>
      </c>
      <c r="H70" s="310">
        <f>+'PPAJr-Staff'!G144+SharedStaff!G157</f>
        <v>21092.168023048111</v>
      </c>
      <c r="I70" s="310">
        <f>+'PPAJr-Staff'!H144+SharedStaff!H157</f>
        <v>21571.117865683649</v>
      </c>
      <c r="J70" s="310">
        <f>+'PPAJr-Staff'!I144+SharedStaff!I157</f>
        <v>21683.760778820379</v>
      </c>
    </row>
    <row r="71" spans="1:10">
      <c r="A71" s="99"/>
      <c r="B71" s="281">
        <v>310</v>
      </c>
      <c r="C71" s="104" t="s">
        <v>232</v>
      </c>
      <c r="D71" s="310">
        <f>'PPAJr-General'!C80</f>
        <v>0</v>
      </c>
      <c r="E71" s="310">
        <f>'PPAJr-General'!D80</f>
        <v>4545</v>
      </c>
      <c r="F71" s="310">
        <f>'PPAJr-General'!E80</f>
        <v>4590.45</v>
      </c>
      <c r="G71" s="310">
        <f>'PPAJr-General'!F80</f>
        <v>4636.3544999999995</v>
      </c>
      <c r="H71" s="310">
        <f>'PPAJr-General'!G80</f>
        <v>4682.7180449999996</v>
      </c>
      <c r="I71" s="310">
        <f>'PPAJr-General'!H80</f>
        <v>4729.5452254499996</v>
      </c>
      <c r="J71" s="310">
        <f>'PPAJr-General'!I80</f>
        <v>4776.8406777044993</v>
      </c>
    </row>
    <row r="72" spans="1:10">
      <c r="A72" s="99"/>
      <c r="B72" s="281">
        <v>360</v>
      </c>
      <c r="C72" s="104" t="s">
        <v>250</v>
      </c>
      <c r="D72" s="310">
        <f>'PPAJr-General'!C61</f>
        <v>0</v>
      </c>
      <c r="E72" s="310">
        <f>'PPAJr-General'!D61</f>
        <v>9550</v>
      </c>
      <c r="F72" s="310">
        <f>'PPAJr-General'!E61</f>
        <v>8938</v>
      </c>
      <c r="G72" s="310">
        <f>'PPAJr-General'!F61</f>
        <v>11116</v>
      </c>
      <c r="H72" s="310">
        <f>'PPAJr-General'!G61</f>
        <v>11224</v>
      </c>
      <c r="I72" s="310">
        <f>'PPAJr-General'!H61</f>
        <v>11332</v>
      </c>
      <c r="J72" s="310">
        <f>'PPAJr-General'!I61</f>
        <v>11440</v>
      </c>
    </row>
    <row r="73" spans="1:10">
      <c r="A73" s="99"/>
      <c r="B73" s="281">
        <v>370</v>
      </c>
      <c r="C73" s="104" t="s">
        <v>251</v>
      </c>
      <c r="D73" s="310">
        <f>'PPAJr-Staff'!C29*'PPAJr-General'!C70</f>
        <v>0</v>
      </c>
      <c r="E73" s="310">
        <f>'PPAJr-Staff'!D29*'PPAJr-General'!D70</f>
        <v>1398.9599999999998</v>
      </c>
      <c r="F73" s="310">
        <f>'PPAJr-Staff'!E29*'PPAJr-General'!E70</f>
        <v>1987.7292</v>
      </c>
      <c r="G73" s="310">
        <f>'PPAJr-Staff'!F29*'PPAJr-General'!F70</f>
        <v>2135.7180629999998</v>
      </c>
      <c r="H73" s="310">
        <f>'PPAJr-Staff'!G29*'PPAJr-General'!G70</f>
        <v>2423.8775894849996</v>
      </c>
      <c r="I73" s="310">
        <f>'PPAJr-Staff'!H29*'PPAJr-General'!H70</f>
        <v>2575.4311478578497</v>
      </c>
      <c r="J73" s="310">
        <f>'PPAJr-Staff'!I29*'PPAJr-General'!I70</f>
        <v>2588.308303597139</v>
      </c>
    </row>
    <row r="74" spans="1:10">
      <c r="A74" s="99"/>
      <c r="B74" s="281">
        <v>390</v>
      </c>
      <c r="C74" s="104" t="s">
        <v>252</v>
      </c>
      <c r="D74" s="310">
        <f>'PPAJr-Staff'!C29*'PPAJr-General'!C71</f>
        <v>0</v>
      </c>
      <c r="E74" s="310">
        <f>'PPAJr-Staff'!D29*'PPAJr-General'!D71</f>
        <v>1923.57</v>
      </c>
      <c r="F74" s="310">
        <f>'PPAJr-Staff'!E29*'PPAJr-General'!E71</f>
        <v>2733.1276499999999</v>
      </c>
      <c r="G74" s="310">
        <f>'PPAJr-Staff'!F29*'PPAJr-General'!F71</f>
        <v>2936.6123366249999</v>
      </c>
      <c r="H74" s="310">
        <f>'PPAJr-Staff'!G29*'PPAJr-General'!G71</f>
        <v>3332.8316855418752</v>
      </c>
      <c r="I74" s="310">
        <f>'PPAJr-Staff'!H29*'PPAJr-General'!H71</f>
        <v>3541.2178283045437</v>
      </c>
      <c r="J74" s="310">
        <f>'PPAJr-Staff'!I29*'PPAJr-General'!I71</f>
        <v>3558.9239174460663</v>
      </c>
    </row>
    <row r="75" spans="1:10">
      <c r="A75" s="99"/>
      <c r="B75" s="281">
        <v>510</v>
      </c>
      <c r="C75" s="104" t="s">
        <v>89</v>
      </c>
      <c r="D75" s="310">
        <f>'PPAJr-Staff'!C29*'PPAJr-General'!C72</f>
        <v>0</v>
      </c>
      <c r="E75" s="310">
        <f>'PPAJr-Staff'!D29*'PPAJr-General'!D72+SUM('PPAJr-StartUp'!N54:N56)</f>
        <v>4647.3999999999996</v>
      </c>
      <c r="F75" s="310">
        <f>'PPAJr-Staff'!E29*'PPAJr-General'!E72</f>
        <v>4969.3230000000003</v>
      </c>
      <c r="G75" s="310">
        <f>'PPAJr-Staff'!F29*'PPAJr-General'!F72</f>
        <v>5339.2951575000006</v>
      </c>
      <c r="H75" s="310">
        <f>'PPAJr-Staff'!G29*'PPAJr-General'!G72</f>
        <v>6059.6939737125003</v>
      </c>
      <c r="I75" s="310">
        <f>'PPAJr-Staff'!H29*'PPAJr-General'!H72</f>
        <v>6438.5778696446259</v>
      </c>
      <c r="J75" s="310">
        <f>'PPAJr-Staff'!I29*'PPAJr-General'!I72</f>
        <v>6470.7707589928486</v>
      </c>
    </row>
    <row r="76" spans="1:10">
      <c r="A76" s="99"/>
      <c r="B76" s="285">
        <v>730</v>
      </c>
      <c r="C76" s="104" t="s">
        <v>228</v>
      </c>
      <c r="D76" s="310">
        <f>'PPAJr-Staff'!C29*'PPAJr-General'!C73</f>
        <v>0</v>
      </c>
      <c r="E76" s="310">
        <f>'PPAJr-Staff'!D29*'PPAJr-General'!D73+'PPAJr-StartUp'!N59</f>
        <v>3286.395</v>
      </c>
      <c r="F76" s="310">
        <f>'PPAJr-Staff'!E29*'PPAJr-General'!E73</f>
        <v>2111.9622750000003</v>
      </c>
      <c r="G76" s="310">
        <f>'PPAJr-Staff'!F29*'PPAJr-General'!F73</f>
        <v>2269.2004419375003</v>
      </c>
      <c r="H76" s="310">
        <f>'PPAJr-Staff'!G29*'PPAJr-General'!G73</f>
        <v>2575.3699388278123</v>
      </c>
      <c r="I76" s="310">
        <f>'PPAJr-Staff'!H29*'PPAJr-General'!H73</f>
        <v>2736.395594598966</v>
      </c>
      <c r="J76" s="310">
        <f>'PPAJr-Staff'!I29*'PPAJr-General'!I73</f>
        <v>2750.0775725719609</v>
      </c>
    </row>
    <row r="77" spans="1:10" ht="15.75" thickBot="1">
      <c r="A77" s="105"/>
      <c r="B77" s="286"/>
      <c r="C77" s="106" t="s">
        <v>253</v>
      </c>
      <c r="D77" s="314">
        <f t="shared" ref="D77:J77" si="6">SUM(D65:D76)</f>
        <v>12018.733333333334</v>
      </c>
      <c r="E77" s="314">
        <f t="shared" si="6"/>
        <v>165986.11791517879</v>
      </c>
      <c r="F77" s="314">
        <f t="shared" si="6"/>
        <v>183361.60530464735</v>
      </c>
      <c r="G77" s="314">
        <f t="shared" si="6"/>
        <v>190639.79961535826</v>
      </c>
      <c r="H77" s="314">
        <f t="shared" si="6"/>
        <v>199632.04359479991</v>
      </c>
      <c r="I77" s="314">
        <f t="shared" si="6"/>
        <v>204453.98729286648</v>
      </c>
      <c r="J77" s="314">
        <f t="shared" si="6"/>
        <v>205509.38817676142</v>
      </c>
    </row>
    <row r="78" spans="1:10" ht="15.75" thickBot="1">
      <c r="B78" s="278"/>
      <c r="C78" s="97"/>
      <c r="E78" s="306"/>
      <c r="F78" s="306"/>
      <c r="G78" s="306"/>
      <c r="H78" s="306"/>
      <c r="I78" s="306"/>
      <c r="J78" s="306"/>
    </row>
    <row r="79" spans="1:10">
      <c r="A79" s="98"/>
      <c r="B79" s="419" t="s">
        <v>254</v>
      </c>
      <c r="C79" s="419"/>
      <c r="E79" s="306"/>
      <c r="F79" s="306"/>
      <c r="G79" s="306"/>
      <c r="H79" s="306"/>
      <c r="I79" s="306"/>
      <c r="J79" s="306"/>
    </row>
    <row r="80" spans="1:10">
      <c r="A80" s="99"/>
      <c r="B80" s="281">
        <v>310</v>
      </c>
      <c r="C80" s="114" t="s">
        <v>255</v>
      </c>
      <c r="E80" s="306"/>
      <c r="F80" s="306"/>
      <c r="G80" s="306"/>
      <c r="H80" s="306"/>
      <c r="I80" s="306"/>
      <c r="J80" s="306"/>
    </row>
    <row r="81" spans="1:10">
      <c r="A81" s="99"/>
      <c r="B81" s="278"/>
      <c r="C81" s="104" t="s">
        <v>256</v>
      </c>
      <c r="D81" s="310">
        <f>'PPAJr-General'!C24</f>
        <v>0</v>
      </c>
      <c r="E81" s="310">
        <f>'PPAJr-General'!D24</f>
        <v>8340</v>
      </c>
      <c r="F81" s="310">
        <f>'PPAJr-General'!E24</f>
        <v>8760</v>
      </c>
      <c r="G81" s="310">
        <f>'PPAJr-General'!F24</f>
        <v>9180</v>
      </c>
      <c r="H81" s="310">
        <f>'PPAJr-General'!G24</f>
        <v>9600</v>
      </c>
      <c r="I81" s="310">
        <f>'PPAJr-General'!H24</f>
        <v>10020</v>
      </c>
      <c r="J81" s="310">
        <f>'PPAJr-General'!I24</f>
        <v>10440</v>
      </c>
    </row>
    <row r="82" spans="1:10">
      <c r="A82" s="99"/>
      <c r="B82" s="281">
        <v>730</v>
      </c>
      <c r="C82" s="104" t="s">
        <v>257</v>
      </c>
      <c r="D82" s="315">
        <f>SharedStaff!C70*SUM(D17:D18,D20,D35,D65:D66,D99)</f>
        <v>227.16666666666666</v>
      </c>
      <c r="E82" s="315">
        <f>SharedStaff!D70*SUM(E17:E18,E20,E35,E65:E66,E99)</f>
        <v>16577.486523588792</v>
      </c>
      <c r="F82" s="315">
        <f>SharedStaff!E70*SUM(F17:F18,F20,F35,F65:F66,F99)</f>
        <v>22317.318460772516</v>
      </c>
      <c r="G82" s="315">
        <f>SharedStaff!F70*SUM(G17:G18,G20,G35,G65:G66,G99)</f>
        <v>23736.657820666613</v>
      </c>
      <c r="H82" s="315">
        <f>SharedStaff!G70*SUM(H17:H18,H20,H35,H65:H66,H99)</f>
        <v>27555.255604781018</v>
      </c>
      <c r="I82" s="315">
        <f>SharedStaff!H70*SUM(I17:I18,I20,I35,I65:I66,I99)</f>
        <v>29163.591941256007</v>
      </c>
      <c r="J82" s="315">
        <f>SharedStaff!I70*SUM(J17:J18,J20,J35,J65:J66,J99)</f>
        <v>30210.514934804272</v>
      </c>
    </row>
    <row r="83" spans="1:10" ht="15.75" thickBot="1">
      <c r="A83" s="105"/>
      <c r="B83" s="286"/>
      <c r="C83" s="106" t="s">
        <v>258</v>
      </c>
      <c r="D83" s="314">
        <f>SUM(D81:D82)</f>
        <v>227.16666666666666</v>
      </c>
      <c r="E83" s="314">
        <f t="shared" ref="E83:J83" si="7">SUM(E81:E82)</f>
        <v>24917.486523588792</v>
      </c>
      <c r="F83" s="314">
        <f t="shared" si="7"/>
        <v>31077.318460772516</v>
      </c>
      <c r="G83" s="314">
        <f t="shared" si="7"/>
        <v>32916.657820666616</v>
      </c>
      <c r="H83" s="314">
        <f t="shared" si="7"/>
        <v>37155.255604781021</v>
      </c>
      <c r="I83" s="314">
        <f t="shared" si="7"/>
        <v>39183.591941256003</v>
      </c>
      <c r="J83" s="314">
        <f t="shared" si="7"/>
        <v>40650.514934804276</v>
      </c>
    </row>
    <row r="84" spans="1:10" ht="15.75" thickBot="1">
      <c r="B84" s="278"/>
      <c r="C84" s="97"/>
      <c r="E84" s="306"/>
      <c r="F84" s="306"/>
      <c r="G84" s="306"/>
      <c r="H84" s="306"/>
      <c r="I84" s="306"/>
      <c r="J84" s="306"/>
    </row>
    <row r="85" spans="1:10">
      <c r="A85" s="98"/>
      <c r="B85" s="420" t="s">
        <v>259</v>
      </c>
      <c r="C85" s="420"/>
      <c r="E85" s="306"/>
      <c r="F85" s="306"/>
      <c r="G85" s="306"/>
      <c r="H85" s="306"/>
      <c r="I85" s="306"/>
      <c r="J85" s="306"/>
    </row>
    <row r="86" spans="1:10">
      <c r="A86" s="99"/>
      <c r="B86" s="285" t="s">
        <v>260</v>
      </c>
      <c r="C86" s="115" t="s">
        <v>261</v>
      </c>
      <c r="D86" s="310"/>
      <c r="E86" s="310"/>
      <c r="F86" s="310"/>
      <c r="G86" s="310"/>
      <c r="H86" s="310"/>
      <c r="I86" s="310"/>
      <c r="J86" s="310"/>
    </row>
    <row r="87" spans="1:10">
      <c r="A87" s="99"/>
      <c r="B87" s="281">
        <v>160</v>
      </c>
      <c r="C87" s="104" t="s">
        <v>35</v>
      </c>
      <c r="D87" s="310"/>
      <c r="E87" s="310"/>
      <c r="F87" s="310"/>
      <c r="G87" s="310"/>
      <c r="H87" s="310"/>
      <c r="I87" s="310"/>
      <c r="J87" s="310"/>
    </row>
    <row r="88" spans="1:10">
      <c r="A88" s="99"/>
      <c r="B88" s="281">
        <v>220</v>
      </c>
      <c r="C88" s="104" t="s">
        <v>65</v>
      </c>
      <c r="D88" s="310"/>
      <c r="E88" s="310"/>
      <c r="F88" s="310"/>
      <c r="G88" s="310"/>
      <c r="H88" s="310"/>
      <c r="I88" s="310"/>
      <c r="J88" s="310"/>
    </row>
    <row r="89" spans="1:10">
      <c r="A89" s="99"/>
      <c r="B89" s="281">
        <v>230</v>
      </c>
      <c r="C89" s="104" t="s">
        <v>221</v>
      </c>
      <c r="D89" s="310"/>
      <c r="E89" s="310"/>
      <c r="F89" s="310"/>
      <c r="G89" s="310"/>
      <c r="H89" s="310"/>
      <c r="I89" s="310"/>
      <c r="J89" s="310"/>
    </row>
    <row r="90" spans="1:10">
      <c r="A90" s="99"/>
      <c r="B90" s="281">
        <v>240</v>
      </c>
      <c r="C90" s="104" t="s">
        <v>220</v>
      </c>
      <c r="D90" s="310"/>
      <c r="E90" s="310"/>
      <c r="F90" s="310"/>
      <c r="G90" s="310"/>
      <c r="H90" s="310"/>
      <c r="I90" s="310"/>
      <c r="J90" s="310"/>
    </row>
    <row r="91" spans="1:10">
      <c r="A91" s="99"/>
      <c r="B91" s="281">
        <v>250</v>
      </c>
      <c r="C91" s="104" t="s">
        <v>222</v>
      </c>
      <c r="D91" s="310"/>
      <c r="E91" s="310"/>
      <c r="F91" s="310"/>
      <c r="G91" s="310"/>
      <c r="H91" s="310"/>
      <c r="I91" s="310"/>
      <c r="J91" s="310"/>
    </row>
    <row r="92" spans="1:10">
      <c r="A92" s="99"/>
      <c r="B92" s="281">
        <v>390</v>
      </c>
      <c r="C92" s="115" t="s">
        <v>252</v>
      </c>
      <c r="D92" s="310"/>
      <c r="E92" s="310"/>
      <c r="F92" s="310"/>
      <c r="G92" s="310"/>
      <c r="H92" s="310"/>
      <c r="I92" s="310"/>
      <c r="J92" s="310"/>
    </row>
    <row r="93" spans="1:10">
      <c r="A93" s="99"/>
      <c r="B93" s="281">
        <v>570</v>
      </c>
      <c r="C93" s="115" t="s">
        <v>262</v>
      </c>
      <c r="D93" s="310"/>
      <c r="E93" s="310"/>
      <c r="F93" s="310"/>
      <c r="G93" s="310"/>
      <c r="H93" s="310"/>
      <c r="I93" s="310"/>
      <c r="J93" s="310"/>
    </row>
    <row r="94" spans="1:10">
      <c r="A94" s="99"/>
      <c r="B94" s="281">
        <v>641</v>
      </c>
      <c r="C94" s="115" t="s">
        <v>263</v>
      </c>
      <c r="D94" s="310"/>
      <c r="E94" s="310"/>
      <c r="F94" s="310"/>
      <c r="G94" s="310"/>
      <c r="H94" s="310"/>
      <c r="I94" s="310"/>
      <c r="J94" s="310"/>
    </row>
    <row r="95" spans="1:10">
      <c r="A95" s="99"/>
      <c r="B95" s="281">
        <v>730</v>
      </c>
      <c r="C95" s="115" t="s">
        <v>264</v>
      </c>
      <c r="D95" s="310"/>
      <c r="E95" s="310"/>
      <c r="F95" s="310"/>
      <c r="G95" s="310"/>
      <c r="H95" s="310"/>
      <c r="I95" s="310"/>
      <c r="J95" s="310"/>
    </row>
    <row r="96" spans="1:10" ht="15.75" thickBot="1">
      <c r="A96" s="105"/>
      <c r="B96" s="286"/>
      <c r="C96" s="116" t="s">
        <v>265</v>
      </c>
      <c r="D96" s="314">
        <f>SUM(D86:D95)</f>
        <v>0</v>
      </c>
      <c r="E96" s="314">
        <f t="shared" ref="E96:J96" si="8">SUM(E86:E95)</f>
        <v>0</v>
      </c>
      <c r="F96" s="314">
        <f t="shared" si="8"/>
        <v>0</v>
      </c>
      <c r="G96" s="314">
        <f t="shared" si="8"/>
        <v>0</v>
      </c>
      <c r="H96" s="314">
        <f t="shared" si="8"/>
        <v>0</v>
      </c>
      <c r="I96" s="314">
        <f t="shared" si="8"/>
        <v>0</v>
      </c>
      <c r="J96" s="314">
        <f t="shared" si="8"/>
        <v>0</v>
      </c>
    </row>
    <row r="97" spans="1:10" ht="15.75" thickBot="1">
      <c r="B97" s="278"/>
      <c r="C97" s="97"/>
      <c r="E97" s="306"/>
      <c r="F97" s="306"/>
      <c r="G97" s="306"/>
      <c r="H97" s="306"/>
      <c r="I97" s="306"/>
      <c r="J97" s="306"/>
    </row>
    <row r="98" spans="1:10">
      <c r="A98" s="98"/>
      <c r="B98" s="419" t="s">
        <v>266</v>
      </c>
      <c r="C98" s="419"/>
      <c r="E98" s="306"/>
      <c r="F98" s="306"/>
      <c r="G98" s="306"/>
      <c r="H98" s="306"/>
      <c r="I98" s="306"/>
      <c r="J98" s="306"/>
    </row>
    <row r="99" spans="1:10">
      <c r="A99" s="99"/>
      <c r="B99" s="280">
        <v>160</v>
      </c>
      <c r="C99" s="100" t="s">
        <v>267</v>
      </c>
      <c r="D99" s="319">
        <f>Facilities!C111</f>
        <v>0</v>
      </c>
      <c r="E99" s="319">
        <f>Facilities!D111</f>
        <v>21717.619913004495</v>
      </c>
      <c r="F99" s="319">
        <f>Facilities!E111</f>
        <v>27809.34253855345</v>
      </c>
      <c r="G99" s="319">
        <f>Facilities!F111</f>
        <v>29537.228645856656</v>
      </c>
      <c r="H99" s="319">
        <f>Facilities!G111</f>
        <v>32369.914407085238</v>
      </c>
      <c r="I99" s="319">
        <f>Facilities!H111</f>
        <v>34109.99041872262</v>
      </c>
      <c r="J99" s="319">
        <f>Facilities!I111</f>
        <v>34790.214271140452</v>
      </c>
    </row>
    <row r="100" spans="1:10">
      <c r="A100" s="99"/>
      <c r="B100" s="281">
        <v>220</v>
      </c>
      <c r="C100" s="104" t="s">
        <v>65</v>
      </c>
      <c r="D100" s="319">
        <f>Facilities!C112</f>
        <v>0</v>
      </c>
      <c r="E100" s="319">
        <f>Facilities!D112</f>
        <v>1661.397923344844</v>
      </c>
      <c r="F100" s="319">
        <f>Facilities!E112</f>
        <v>2127.4147041993388</v>
      </c>
      <c r="G100" s="319">
        <f>Facilities!F112</f>
        <v>2259.5979914080344</v>
      </c>
      <c r="H100" s="319">
        <f>Facilities!G112</f>
        <v>2476.2984521420208</v>
      </c>
      <c r="I100" s="319">
        <f>Facilities!H112</f>
        <v>2609.4142670322803</v>
      </c>
      <c r="J100" s="319">
        <f>Facilities!I112</f>
        <v>2661.4513917422446</v>
      </c>
    </row>
    <row r="101" spans="1:10">
      <c r="A101" s="99"/>
      <c r="B101" s="281">
        <v>240</v>
      </c>
      <c r="C101" s="104" t="s">
        <v>220</v>
      </c>
      <c r="D101" s="319">
        <f>Facilities!C113</f>
        <v>0</v>
      </c>
      <c r="E101" s="319">
        <f>Facilities!D113</f>
        <v>975.12113409390213</v>
      </c>
      <c r="F101" s="319">
        <f>Facilities!E113</f>
        <v>1248.63947998105</v>
      </c>
      <c r="G101" s="319">
        <f>Facilities!F113</f>
        <v>1326.221566198964</v>
      </c>
      <c r="H101" s="319">
        <f>Facilities!G113</f>
        <v>1453.4091568781271</v>
      </c>
      <c r="I101" s="319">
        <f>Facilities!H113</f>
        <v>1531.5385698006455</v>
      </c>
      <c r="J101" s="319">
        <f>Facilities!I113</f>
        <v>1562.0806207742064</v>
      </c>
    </row>
    <row r="102" spans="1:10">
      <c r="A102" s="99"/>
      <c r="B102" s="281">
        <v>250</v>
      </c>
      <c r="C102" s="104" t="s">
        <v>222</v>
      </c>
      <c r="D102" s="319">
        <f>Facilities!C114</f>
        <v>0</v>
      </c>
      <c r="E102" s="319">
        <f>Facilities!D114</f>
        <v>532.96971018043621</v>
      </c>
      <c r="F102" s="319">
        <f>Facilities!E114</f>
        <v>668.37735849056605</v>
      </c>
      <c r="G102" s="319">
        <f>Facilities!F114</f>
        <v>652.46554364471672</v>
      </c>
      <c r="H102" s="319">
        <f>Facilities!G114</f>
        <v>653.65938864628822</v>
      </c>
      <c r="I102" s="319">
        <f>Facilities!H114</f>
        <v>626.21590909090912</v>
      </c>
      <c r="J102" s="319">
        <f>Facilities!I114</f>
        <v>578.04545454545462</v>
      </c>
    </row>
    <row r="103" spans="1:10">
      <c r="A103" s="99"/>
      <c r="B103" s="281">
        <v>290</v>
      </c>
      <c r="C103" s="104" t="s">
        <v>221</v>
      </c>
      <c r="D103" s="319">
        <f>Facilities!C115</f>
        <v>0</v>
      </c>
      <c r="E103" s="319">
        <f>Facilities!D115</f>
        <v>3366.2310865156969</v>
      </c>
      <c r="F103" s="319">
        <f>Facilities!E115</f>
        <v>4310.4480934757848</v>
      </c>
      <c r="G103" s="319">
        <f>Facilities!F115</f>
        <v>4578.2704401077817</v>
      </c>
      <c r="H103" s="319">
        <f>Facilities!G115</f>
        <v>5017.3367330982119</v>
      </c>
      <c r="I103" s="319">
        <f>Facilities!H115</f>
        <v>5287.0485149020051</v>
      </c>
      <c r="J103" s="319">
        <f>Facilities!I115</f>
        <v>5392.4832120267702</v>
      </c>
    </row>
    <row r="104" spans="1:10">
      <c r="A104" s="99"/>
      <c r="B104" s="291">
        <v>350</v>
      </c>
      <c r="C104" s="117" t="s">
        <v>83</v>
      </c>
      <c r="D104" s="310">
        <f>Facilities!C157</f>
        <v>0</v>
      </c>
      <c r="E104" s="310">
        <f>Facilities!D157</f>
        <v>1557.9787234042553</v>
      </c>
      <c r="F104" s="310">
        <f>Facilities!E157</f>
        <v>1972.8349056603774</v>
      </c>
      <c r="G104" s="310">
        <f>Facilities!F157</f>
        <v>2074.8021669218992</v>
      </c>
      <c r="H104" s="310">
        <f>Facilities!G157</f>
        <v>2249.340545633188</v>
      </c>
      <c r="I104" s="310">
        <f>Facilities!H157</f>
        <v>2343.871844683239</v>
      </c>
      <c r="J104" s="310">
        <f>Facilities!I157</f>
        <v>2367.3105631300714</v>
      </c>
    </row>
    <row r="105" spans="1:10">
      <c r="A105" s="99"/>
      <c r="B105" s="291">
        <v>360</v>
      </c>
      <c r="C105" s="117" t="s">
        <v>362</v>
      </c>
      <c r="D105" s="310">
        <f>Facilities!C158</f>
        <v>0</v>
      </c>
      <c r="E105" s="310">
        <f>Facilities!D158</f>
        <v>147566.97634042555</v>
      </c>
      <c r="F105" s="310">
        <f>Facilities!E158</f>
        <v>219324.88164715568</v>
      </c>
      <c r="G105" s="310">
        <f>Facilities!F158</f>
        <v>272760.95786836644</v>
      </c>
      <c r="H105" s="310">
        <f>Facilities!G158</f>
        <v>292778.61496199848</v>
      </c>
      <c r="I105" s="310">
        <f>Facilities!H158</f>
        <v>302062.37212261057</v>
      </c>
      <c r="J105" s="310">
        <f>Facilities!I158</f>
        <v>302062.37212261057</v>
      </c>
    </row>
    <row r="106" spans="1:10">
      <c r="A106" s="99"/>
      <c r="B106" s="291"/>
      <c r="C106" s="117" t="s">
        <v>369</v>
      </c>
      <c r="D106" s="310">
        <f>Facilities!C159</f>
        <v>0</v>
      </c>
      <c r="E106" s="310">
        <f>Facilities!D159</f>
        <v>0</v>
      </c>
      <c r="F106" s="310">
        <f>Facilities!E159</f>
        <v>0</v>
      </c>
      <c r="G106" s="310">
        <f>Facilities!F159</f>
        <v>0</v>
      </c>
      <c r="H106" s="310">
        <f>Facilities!G159</f>
        <v>0</v>
      </c>
      <c r="I106" s="310">
        <f>Facilities!H159</f>
        <v>0</v>
      </c>
      <c r="J106" s="310">
        <f>Facilities!I159</f>
        <v>0</v>
      </c>
    </row>
    <row r="107" spans="1:10">
      <c r="A107" s="99"/>
      <c r="B107" s="291"/>
      <c r="C107" s="117" t="s">
        <v>268</v>
      </c>
      <c r="D107" s="310">
        <f>Facilities!C160</f>
        <v>0</v>
      </c>
      <c r="E107" s="310">
        <f>Facilities!D160</f>
        <v>0</v>
      </c>
      <c r="F107" s="310">
        <f>Facilities!E160</f>
        <v>0</v>
      </c>
      <c r="G107" s="310">
        <f>Facilities!F160</f>
        <v>0</v>
      </c>
      <c r="H107" s="310">
        <f>Facilities!G160</f>
        <v>0</v>
      </c>
      <c r="I107" s="310">
        <f>Facilities!H160</f>
        <v>0</v>
      </c>
      <c r="J107" s="310">
        <f>Facilities!I160</f>
        <v>0</v>
      </c>
    </row>
    <row r="108" spans="1:10">
      <c r="A108" s="99"/>
      <c r="B108" s="291"/>
      <c r="C108" s="117" t="s">
        <v>269</v>
      </c>
      <c r="D108" s="310">
        <f>Facilities!C161</f>
        <v>0</v>
      </c>
      <c r="E108" s="310">
        <f>Facilities!D161</f>
        <v>0</v>
      </c>
      <c r="F108" s="310">
        <f>Facilities!E161</f>
        <v>0</v>
      </c>
      <c r="G108" s="310">
        <f>Facilities!F161</f>
        <v>0</v>
      </c>
      <c r="H108" s="310">
        <f>Facilities!G161</f>
        <v>0</v>
      </c>
      <c r="I108" s="310">
        <f>Facilities!H161</f>
        <v>0</v>
      </c>
      <c r="J108" s="310">
        <f>Facilities!I161</f>
        <v>0</v>
      </c>
    </row>
    <row r="109" spans="1:10">
      <c r="A109" s="99"/>
      <c r="B109" s="291"/>
      <c r="C109" s="117" t="s">
        <v>270</v>
      </c>
      <c r="D109" s="310">
        <f>Facilities!C162</f>
        <v>0</v>
      </c>
      <c r="E109" s="310">
        <f>Facilities!D162</f>
        <v>0</v>
      </c>
      <c r="F109" s="310">
        <f>Facilities!E162</f>
        <v>0</v>
      </c>
      <c r="G109" s="310">
        <f>Facilities!F162</f>
        <v>0</v>
      </c>
      <c r="H109" s="310">
        <f>Facilities!G162</f>
        <v>0</v>
      </c>
      <c r="I109" s="310">
        <f>Facilities!H162</f>
        <v>0</v>
      </c>
      <c r="J109" s="310">
        <f>Facilities!I162</f>
        <v>0</v>
      </c>
    </row>
    <row r="110" spans="1:10">
      <c r="A110" s="99"/>
      <c r="B110" s="291">
        <v>370</v>
      </c>
      <c r="C110" s="117" t="s">
        <v>251</v>
      </c>
      <c r="D110" s="310">
        <f>'PPAJr-Staff'!C29*'PPAJr-General'!C74</f>
        <v>0</v>
      </c>
      <c r="E110" s="310">
        <f>'PPAJr-Staff'!D29*'PPAJr-General'!D74</f>
        <v>3322.5299999999997</v>
      </c>
      <c r="F110" s="310">
        <f>'PPAJr-Staff'!E29*'PPAJr-General'!E74</f>
        <v>4720.8568500000001</v>
      </c>
      <c r="G110" s="310">
        <f>'PPAJr-Staff'!F29*'PPAJr-General'!F74</f>
        <v>5072.3303996249997</v>
      </c>
      <c r="H110" s="310">
        <f>'PPAJr-Staff'!G29*'PPAJr-General'!G74</f>
        <v>5756.7092750268739</v>
      </c>
      <c r="I110" s="310">
        <f>'PPAJr-Staff'!H29*'PPAJr-General'!H74</f>
        <v>6116.6489761623934</v>
      </c>
      <c r="J110" s="310">
        <f>'PPAJr-Staff'!I29*'PPAJr-General'!I74</f>
        <v>6147.2322210432058</v>
      </c>
    </row>
    <row r="111" spans="1:10">
      <c r="A111" s="99"/>
      <c r="B111" s="291">
        <v>380</v>
      </c>
      <c r="C111" s="145" t="s">
        <v>370</v>
      </c>
      <c r="D111" s="310">
        <f>Facilities!C171</f>
        <v>0</v>
      </c>
      <c r="E111" s="310">
        <f>Facilities!D171</f>
        <v>3304.4728723404255</v>
      </c>
      <c r="F111" s="310">
        <f>Facilities!E171</f>
        <v>4184.3828349056603</v>
      </c>
      <c r="G111" s="310">
        <f>Facilities!F171</f>
        <v>4400.6553960413476</v>
      </c>
      <c r="H111" s="310">
        <f>Facilities!G171</f>
        <v>4770.8512972879917</v>
      </c>
      <c r="I111" s="310">
        <f>Facilities!H171</f>
        <v>4971.3521825731486</v>
      </c>
      <c r="J111" s="310">
        <f>Facilities!I171</f>
        <v>5021.0657043988804</v>
      </c>
    </row>
    <row r="112" spans="1:10">
      <c r="A112" s="99"/>
      <c r="B112" s="292">
        <v>390</v>
      </c>
      <c r="C112" s="118" t="s">
        <v>271</v>
      </c>
      <c r="D112" s="310"/>
      <c r="E112" s="310"/>
      <c r="F112" s="310"/>
      <c r="G112" s="310"/>
      <c r="H112" s="310"/>
      <c r="I112" s="310"/>
      <c r="J112" s="310"/>
    </row>
    <row r="113" spans="1:10">
      <c r="A113" s="99"/>
      <c r="B113" s="288"/>
      <c r="C113" s="119" t="s">
        <v>272</v>
      </c>
      <c r="D113" s="310">
        <f>Facilities!C163</f>
        <v>0</v>
      </c>
      <c r="E113" s="310">
        <f>Facilities!D163</f>
        <v>155.79787234042553</v>
      </c>
      <c r="F113" s="310">
        <f>Facilities!E163</f>
        <v>197.28349056603776</v>
      </c>
      <c r="G113" s="310">
        <f>Facilities!F163</f>
        <v>207.48021669218988</v>
      </c>
      <c r="H113" s="310">
        <f>Facilities!G163</f>
        <v>224.9340545633188</v>
      </c>
      <c r="I113" s="310">
        <f>Facilities!H163</f>
        <v>234.38718446832385</v>
      </c>
      <c r="J113" s="310">
        <f>Facilities!I163</f>
        <v>236.73105631300709</v>
      </c>
    </row>
    <row r="114" spans="1:10">
      <c r="A114" s="99"/>
      <c r="B114" s="288"/>
      <c r="C114" s="119" t="s">
        <v>273</v>
      </c>
      <c r="D114" s="310">
        <f>Facilities!C164</f>
        <v>0</v>
      </c>
      <c r="E114" s="310">
        <f>Facilities!D164</f>
        <v>311.59574468085106</v>
      </c>
      <c r="F114" s="310">
        <f>Facilities!E164</f>
        <v>394.56698113207551</v>
      </c>
      <c r="G114" s="310">
        <f>Facilities!F164</f>
        <v>414.96043338437977</v>
      </c>
      <c r="H114" s="310">
        <f>Facilities!G164</f>
        <v>449.86810912663759</v>
      </c>
      <c r="I114" s="310">
        <f>Facilities!H164</f>
        <v>468.7743689366477</v>
      </c>
      <c r="J114" s="310">
        <f>Facilities!I164</f>
        <v>473.46211262601418</v>
      </c>
    </row>
    <row r="115" spans="1:10">
      <c r="A115" s="99"/>
      <c r="B115" s="288"/>
      <c r="C115" s="119" t="s">
        <v>274</v>
      </c>
      <c r="D115" s="310">
        <f>Facilities!C165</f>
        <v>0</v>
      </c>
      <c r="E115" s="310">
        <f>Facilities!D165</f>
        <v>778.98936170212767</v>
      </c>
      <c r="F115" s="310">
        <f>Facilities!E165</f>
        <v>986.41745283018872</v>
      </c>
      <c r="G115" s="310">
        <f>Facilities!F165</f>
        <v>1037.4010834609496</v>
      </c>
      <c r="H115" s="310">
        <f>Facilities!G165</f>
        <v>1124.670272816594</v>
      </c>
      <c r="I115" s="310">
        <f>Facilities!H165</f>
        <v>1171.9359223416195</v>
      </c>
      <c r="J115" s="310">
        <f>Facilities!I165</f>
        <v>1183.6552815650357</v>
      </c>
    </row>
    <row r="116" spans="1:10">
      <c r="A116" s="99"/>
      <c r="B116" s="288"/>
      <c r="C116" s="119" t="s">
        <v>275</v>
      </c>
      <c r="D116" s="310">
        <f>Facilities!C166</f>
        <v>0</v>
      </c>
      <c r="E116" s="310">
        <f>Facilities!D166</f>
        <v>4673.9361702127662</v>
      </c>
      <c r="F116" s="310">
        <f>Facilities!E166</f>
        <v>5918.5047169811323</v>
      </c>
      <c r="G116" s="310">
        <f>Facilities!F166</f>
        <v>6224.4065007656964</v>
      </c>
      <c r="H116" s="310">
        <f>Facilities!G166</f>
        <v>6748.0216368995634</v>
      </c>
      <c r="I116" s="310">
        <f>Facilities!H166</f>
        <v>7031.6155340497162</v>
      </c>
      <c r="J116" s="310">
        <f>Facilities!I166</f>
        <v>7101.9316893902133</v>
      </c>
    </row>
    <row r="117" spans="1:10">
      <c r="A117" s="99"/>
      <c r="B117" s="288"/>
      <c r="C117" s="119" t="s">
        <v>276</v>
      </c>
      <c r="D117" s="310">
        <f>Facilities!C167</f>
        <v>0</v>
      </c>
      <c r="E117" s="310">
        <f>Facilities!D167</f>
        <v>82.261276595744675</v>
      </c>
      <c r="F117" s="310">
        <f>Facilities!E167</f>
        <v>104.16568301886792</v>
      </c>
      <c r="G117" s="310">
        <f>Facilities!F167</f>
        <v>109.54955441347626</v>
      </c>
      <c r="H117" s="310">
        <f>Facilities!G167</f>
        <v>118.76518080943231</v>
      </c>
      <c r="I117" s="310">
        <f>Facilities!H167</f>
        <v>123.75643339927498</v>
      </c>
      <c r="J117" s="310">
        <f>Facilities!I167</f>
        <v>124.99399773326773</v>
      </c>
    </row>
    <row r="118" spans="1:10">
      <c r="A118" s="99"/>
      <c r="B118" s="288"/>
      <c r="C118" s="119" t="s">
        <v>277</v>
      </c>
      <c r="D118" s="310">
        <f>Facilities!C168</f>
        <v>0</v>
      </c>
      <c r="E118" s="310">
        <f>Facilities!D168</f>
        <v>701.09042553191489</v>
      </c>
      <c r="F118" s="310">
        <f>Facilities!E168</f>
        <v>887.77570754716987</v>
      </c>
      <c r="G118" s="310">
        <f>Facilities!F168</f>
        <v>933.66097511485441</v>
      </c>
      <c r="H118" s="310">
        <f>Facilities!G168</f>
        <v>1012.2032455349345</v>
      </c>
      <c r="I118" s="310">
        <f>Facilities!H168</f>
        <v>1054.7423301074573</v>
      </c>
      <c r="J118" s="310">
        <f>Facilities!I168</f>
        <v>1065.2897534085319</v>
      </c>
    </row>
    <row r="119" spans="1:10">
      <c r="A119" s="99"/>
      <c r="B119" s="288"/>
      <c r="C119" s="119" t="s">
        <v>371</v>
      </c>
      <c r="D119" s="310">
        <f>Facilities!C172</f>
        <v>0</v>
      </c>
      <c r="E119" s="310">
        <f>Facilities!D172</f>
        <v>3149.2981914893617</v>
      </c>
      <c r="F119" s="310">
        <f>Facilities!E172</f>
        <v>3987.8884783018871</v>
      </c>
      <c r="G119" s="310">
        <f>Facilities!F172</f>
        <v>4194.0051002159262</v>
      </c>
      <c r="H119" s="310">
        <f>Facilities!G172</f>
        <v>4546.8169789429257</v>
      </c>
      <c r="I119" s="310">
        <f>Facilities!H172</f>
        <v>4737.9025468426989</v>
      </c>
      <c r="J119" s="310">
        <f>Facilities!I172</f>
        <v>4785.2815723111253</v>
      </c>
    </row>
    <row r="120" spans="1:10">
      <c r="A120" s="99"/>
      <c r="B120" s="292">
        <v>430</v>
      </c>
      <c r="C120" s="120" t="s">
        <v>278</v>
      </c>
      <c r="D120" s="310">
        <f>Facilities!C169</f>
        <v>0</v>
      </c>
      <c r="E120" s="310">
        <f>Facilities!D169</f>
        <v>13055.124361702128</v>
      </c>
      <c r="F120" s="310">
        <f>Facilities!E169</f>
        <v>16736.942641509435</v>
      </c>
      <c r="G120" s="310">
        <f>Facilities!F169</f>
        <v>17940.305359877486</v>
      </c>
      <c r="H120" s="310">
        <f>Facilities!G169</f>
        <v>19669.575065502184</v>
      </c>
      <c r="I120" s="310">
        <f>Facilities!H169</f>
        <v>20860.924517045456</v>
      </c>
      <c r="J120" s="310">
        <f>Facilities!I169</f>
        <v>21428.568721590909</v>
      </c>
    </row>
    <row r="121" spans="1:10">
      <c r="A121" s="99"/>
      <c r="B121" s="292">
        <v>510</v>
      </c>
      <c r="C121" s="120" t="s">
        <v>92</v>
      </c>
      <c r="D121" s="310">
        <f>'PPAJr-Staff'!C29*'PPAJr-General'!C75</f>
        <v>0</v>
      </c>
      <c r="E121" s="310">
        <f>'PPAJr-Staff'!D29*'PPAJr-General'!D75+'PPAJr-StartUp'!N51</f>
        <v>5420.97</v>
      </c>
      <c r="F121" s="310">
        <f>'PPAJr-Staff'!E29*'PPAJr-General'!E75</f>
        <v>7702.4506499999998</v>
      </c>
      <c r="G121" s="310">
        <f>'PPAJr-Staff'!F29*'PPAJr-General'!F75</f>
        <v>8275.9074941250001</v>
      </c>
      <c r="H121" s="310">
        <f>'PPAJr-Staff'!G29*'PPAJr-General'!G75</f>
        <v>9392.5256592543756</v>
      </c>
      <c r="I121" s="310">
        <f>'PPAJr-Staff'!H29*'PPAJr-General'!H75</f>
        <v>9979.7956979491682</v>
      </c>
      <c r="J121" s="310">
        <f>'PPAJr-Staff'!I29*'PPAJr-General'!I75</f>
        <v>10029.694676438916</v>
      </c>
    </row>
    <row r="122" spans="1:10">
      <c r="A122" s="99"/>
      <c r="B122" s="292">
        <v>642</v>
      </c>
      <c r="C122" s="120" t="s">
        <v>91</v>
      </c>
      <c r="D122" s="310">
        <f>'PPAJr-Staff'!C29*'PPAJr-General'!C76</f>
        <v>0</v>
      </c>
      <c r="E122" s="310">
        <f>'PPAJr-Staff'!D29*'PPAJr-General'!D76+SUM('PPAJr-StartUp'!N34:N44)+SUM('PPAJr-StartUp'!N45:N46)</f>
        <v>10388.76</v>
      </c>
      <c r="F122" s="310">
        <f>'PPAJr-Staff'!E29*'PPAJr-General'!E76</f>
        <v>993.8646</v>
      </c>
      <c r="G122" s="310">
        <f>'PPAJr-Staff'!F29*'PPAJr-General'!F76</f>
        <v>1067.8590314999999</v>
      </c>
      <c r="H122" s="310">
        <f>'PPAJr-Staff'!G29*'PPAJr-General'!G76</f>
        <v>1211.9387947424998</v>
      </c>
      <c r="I122" s="310">
        <f>'PPAJr-Staff'!H29*'PPAJr-General'!H76</f>
        <v>1287.7155739289249</v>
      </c>
      <c r="J122" s="310">
        <f>'PPAJr-Staff'!I29*'PPAJr-General'!I76</f>
        <v>1294.1541517985695</v>
      </c>
    </row>
    <row r="123" spans="1:10">
      <c r="A123" s="99"/>
      <c r="B123" s="292">
        <v>680</v>
      </c>
      <c r="C123" s="117" t="s">
        <v>84</v>
      </c>
      <c r="D123" s="310">
        <f>Facilities!C170</f>
        <v>0</v>
      </c>
      <c r="E123" s="310">
        <f>Facilities!D170</f>
        <v>4362.3404255319147</v>
      </c>
      <c r="F123" s="310">
        <f>Facilities!E170</f>
        <v>5523.9377358490565</v>
      </c>
      <c r="G123" s="310">
        <f>Facilities!F170</f>
        <v>5809.4460673813173</v>
      </c>
      <c r="H123" s="310">
        <f>Facilities!G170</f>
        <v>6298.1535277729263</v>
      </c>
      <c r="I123" s="310">
        <f>Facilities!H170</f>
        <v>6562.8411651130682</v>
      </c>
      <c r="J123" s="310">
        <f>Facilities!I170</f>
        <v>6628.4695767641988</v>
      </c>
    </row>
    <row r="124" spans="1:10" ht="15.75" thickBot="1">
      <c r="A124" s="105"/>
      <c r="B124" s="287"/>
      <c r="C124" s="121" t="s">
        <v>279</v>
      </c>
      <c r="D124" s="314">
        <f>SUM(D99:D123)</f>
        <v>0</v>
      </c>
      <c r="E124" s="314">
        <f t="shared" ref="E124:J124" si="9">SUM(E99:E123)</f>
        <v>227085.46153309679</v>
      </c>
      <c r="F124" s="314">
        <f t="shared" si="9"/>
        <v>309800.97655015765</v>
      </c>
      <c r="G124" s="314">
        <f t="shared" si="9"/>
        <v>368877.51183510211</v>
      </c>
      <c r="H124" s="314">
        <f t="shared" si="9"/>
        <v>398323.60674376186</v>
      </c>
      <c r="I124" s="314">
        <f t="shared" si="9"/>
        <v>413172.84407976014</v>
      </c>
      <c r="J124" s="314">
        <f t="shared" si="9"/>
        <v>414934.48815135169</v>
      </c>
    </row>
    <row r="125" spans="1:10" ht="15.75" thickBot="1">
      <c r="B125" s="293"/>
      <c r="C125" s="122"/>
      <c r="E125" s="306"/>
      <c r="F125" s="306"/>
      <c r="G125" s="306"/>
      <c r="H125" s="306"/>
      <c r="I125" s="306"/>
      <c r="J125" s="306"/>
    </row>
    <row r="126" spans="1:10" ht="16.5" thickBot="1">
      <c r="B126" s="279"/>
      <c r="C126" s="124" t="s">
        <v>280</v>
      </c>
      <c r="D126" s="317">
        <f>D124+D96+D83+D77+D61+D57+D51+D43+D31</f>
        <v>15745.9</v>
      </c>
      <c r="E126" s="317">
        <f t="shared" ref="E126:J126" si="10">E124+E96+E83+E77+E61+E57+E51+E43+E31</f>
        <v>1324448.1186986249</v>
      </c>
      <c r="F126" s="317">
        <f t="shared" si="10"/>
        <v>1699782.3793936544</v>
      </c>
      <c r="G126" s="317">
        <f t="shared" si="10"/>
        <v>1845775.9388543332</v>
      </c>
      <c r="H126" s="317">
        <f t="shared" si="10"/>
        <v>2108593.5856019137</v>
      </c>
      <c r="I126" s="317">
        <f t="shared" si="10"/>
        <v>2216548.3861227771</v>
      </c>
      <c r="J126" s="317">
        <f t="shared" si="10"/>
        <v>2276941.2047650977</v>
      </c>
    </row>
    <row r="127" spans="1:10" ht="15.75">
      <c r="B127" s="279"/>
      <c r="C127" s="125"/>
      <c r="E127" s="306"/>
      <c r="F127" s="306"/>
      <c r="G127" s="306"/>
      <c r="H127" s="306"/>
      <c r="I127" s="306"/>
      <c r="J127" s="306"/>
    </row>
    <row r="128" spans="1:10" ht="15.75" thickBot="1">
      <c r="B128" s="278"/>
      <c r="C128" s="126"/>
      <c r="E128" s="306"/>
      <c r="F128" s="306"/>
      <c r="G128" s="306"/>
      <c r="H128" s="306"/>
      <c r="I128" s="306"/>
      <c r="J128" s="306"/>
    </row>
    <row r="129" spans="2:10" customFormat="1" ht="16.5" thickBot="1">
      <c r="B129" s="278"/>
      <c r="C129" s="124" t="s">
        <v>281</v>
      </c>
      <c r="D129" s="318">
        <f t="shared" ref="D129:J129" si="11">D11-D126</f>
        <v>-15745.9</v>
      </c>
      <c r="E129" s="318">
        <f t="shared" si="11"/>
        <v>-72119.395498625003</v>
      </c>
      <c r="F129" s="318">
        <f t="shared" si="11"/>
        <v>81242.406782345613</v>
      </c>
      <c r="G129" s="318">
        <f t="shared" si="11"/>
        <v>69284.876519426936</v>
      </c>
      <c r="H129" s="318">
        <f t="shared" si="11"/>
        <v>65639.855858931318</v>
      </c>
      <c r="I129" s="318">
        <f t="shared" si="11"/>
        <v>95681.427981643006</v>
      </c>
      <c r="J129" s="318">
        <f t="shared" si="11"/>
        <v>50140.9406967666</v>
      </c>
    </row>
    <row r="130" spans="2:10" customFormat="1">
      <c r="B130" s="278"/>
      <c r="C130" s="126"/>
      <c r="D130" s="306"/>
      <c r="E130" s="306"/>
      <c r="F130" s="306"/>
      <c r="G130" s="306"/>
      <c r="H130" s="306"/>
      <c r="I130" s="306"/>
      <c r="J130" s="306"/>
    </row>
    <row r="131" spans="2:10" customFormat="1" ht="15.75">
      <c r="B131" s="278"/>
      <c r="C131" s="127"/>
      <c r="D131" s="306"/>
      <c r="E131" s="306"/>
      <c r="F131" s="306"/>
      <c r="G131" s="306"/>
      <c r="H131" s="306"/>
      <c r="I131" s="306"/>
      <c r="J131" s="306"/>
    </row>
    <row r="132" spans="2:10" customFormat="1" ht="15.75">
      <c r="B132" s="278"/>
      <c r="C132" s="127"/>
      <c r="D132" s="306"/>
      <c r="E132" s="306"/>
      <c r="F132" s="306"/>
      <c r="G132" s="306"/>
      <c r="H132" s="306"/>
      <c r="I132" s="306"/>
      <c r="J132" s="306"/>
    </row>
    <row r="133" spans="2:10" customFormat="1">
      <c r="B133" s="278"/>
      <c r="C133" s="126"/>
      <c r="D133" s="306"/>
      <c r="E133" s="306"/>
      <c r="F133" s="306"/>
      <c r="G133" s="306"/>
      <c r="H133" s="306"/>
      <c r="I133" s="306"/>
      <c r="J133" s="306"/>
    </row>
    <row r="134" spans="2:10" customFormat="1">
      <c r="B134" s="278"/>
      <c r="C134" s="126"/>
      <c r="D134" s="306"/>
      <c r="E134" s="306"/>
      <c r="F134" s="306"/>
      <c r="G134" s="306"/>
      <c r="H134" s="306"/>
      <c r="I134" s="306"/>
      <c r="J134" s="306"/>
    </row>
    <row r="135" spans="2:10" customFormat="1">
      <c r="B135" s="278"/>
      <c r="C135" s="126"/>
      <c r="D135" s="306"/>
      <c r="E135" s="306"/>
      <c r="F135" s="306"/>
      <c r="G135" s="306"/>
      <c r="H135" s="306"/>
      <c r="I135" s="306"/>
      <c r="J135" s="306"/>
    </row>
    <row r="136" spans="2:10" customFormat="1">
      <c r="B136" s="418"/>
      <c r="C136" s="418"/>
      <c r="D136" s="306"/>
      <c r="E136" s="306"/>
      <c r="F136" s="306"/>
      <c r="G136" s="306"/>
      <c r="H136" s="306"/>
      <c r="I136" s="306"/>
      <c r="J136" s="306"/>
    </row>
    <row r="137" spans="2:10" customFormat="1">
      <c r="B137" s="278"/>
      <c r="C137" s="96"/>
      <c r="D137" s="306"/>
      <c r="E137" s="306"/>
      <c r="F137" s="306"/>
      <c r="G137" s="306"/>
      <c r="H137" s="306"/>
      <c r="I137" s="306"/>
      <c r="J137" s="306"/>
    </row>
    <row r="138" spans="2:10" customFormat="1">
      <c r="B138" s="278"/>
      <c r="C138" s="126"/>
      <c r="D138" s="306"/>
      <c r="E138" s="306"/>
      <c r="F138" s="306"/>
      <c r="G138" s="306"/>
      <c r="H138" s="306"/>
      <c r="I138" s="306"/>
      <c r="J138" s="306"/>
    </row>
    <row r="139" spans="2:10" customFormat="1">
      <c r="B139" s="278"/>
      <c r="C139" s="126"/>
      <c r="D139" s="306"/>
      <c r="E139" s="306"/>
      <c r="F139" s="306"/>
      <c r="G139" s="306"/>
      <c r="H139" s="306"/>
      <c r="I139" s="306"/>
      <c r="J139" s="306"/>
    </row>
    <row r="140" spans="2:10" customFormat="1">
      <c r="B140" s="278"/>
      <c r="C140" s="123"/>
      <c r="D140" s="306"/>
      <c r="E140" s="306"/>
      <c r="F140" s="306"/>
      <c r="G140" s="306"/>
      <c r="H140" s="306"/>
      <c r="I140" s="306"/>
      <c r="J140" s="306"/>
    </row>
    <row r="141" spans="2:10" customFormat="1">
      <c r="B141" s="278"/>
      <c r="C141" s="96"/>
      <c r="D141" s="306"/>
      <c r="E141" s="306"/>
      <c r="F141" s="306"/>
      <c r="G141" s="306"/>
      <c r="H141" s="306"/>
      <c r="I141" s="306"/>
      <c r="J141" s="306"/>
    </row>
    <row r="142" spans="2:10" customFormat="1">
      <c r="B142" s="278"/>
      <c r="C142" s="96"/>
      <c r="D142" s="306"/>
      <c r="E142" s="306"/>
      <c r="F142" s="306"/>
      <c r="G142" s="306"/>
      <c r="H142" s="306"/>
      <c r="I142" s="306"/>
      <c r="J142" s="306"/>
    </row>
    <row r="143" spans="2:10" customFormat="1">
      <c r="B143" s="278"/>
      <c r="C143" s="96"/>
      <c r="D143" s="306"/>
      <c r="E143" s="306"/>
      <c r="F143" s="306"/>
      <c r="G143" s="306"/>
      <c r="H143" s="306"/>
      <c r="I143" s="306"/>
      <c r="J143" s="306"/>
    </row>
    <row r="144" spans="2:10" customFormat="1">
      <c r="B144" s="278"/>
      <c r="C144" s="96"/>
      <c r="D144" s="306"/>
      <c r="E144" s="306"/>
      <c r="F144" s="306"/>
      <c r="G144" s="306"/>
      <c r="H144" s="306"/>
      <c r="I144" s="306"/>
      <c r="J144" s="306"/>
    </row>
    <row r="145" spans="2:10" customFormat="1">
      <c r="B145" s="278"/>
      <c r="C145" s="96"/>
      <c r="D145" s="306"/>
      <c r="E145" s="306"/>
      <c r="F145" s="306"/>
      <c r="G145" s="306"/>
      <c r="H145" s="306"/>
      <c r="I145" s="306"/>
      <c r="J145" s="306"/>
    </row>
    <row r="146" spans="2:10" customFormat="1">
      <c r="B146" s="278"/>
      <c r="C146" s="126"/>
      <c r="D146" s="306"/>
      <c r="E146" s="306"/>
      <c r="F146" s="306"/>
      <c r="G146" s="306"/>
      <c r="H146" s="306"/>
      <c r="I146" s="306"/>
      <c r="J146" s="306"/>
    </row>
    <row r="147" spans="2:10" customFormat="1">
      <c r="B147" s="278"/>
      <c r="C147" s="126"/>
      <c r="D147" s="306"/>
      <c r="E147" s="306"/>
      <c r="F147" s="306"/>
      <c r="G147" s="306"/>
      <c r="H147" s="306"/>
      <c r="I147" s="306"/>
      <c r="J147" s="306"/>
    </row>
    <row r="148" spans="2:10" customFormat="1">
      <c r="B148" s="293"/>
      <c r="C148" s="126"/>
      <c r="D148" s="306"/>
      <c r="E148" s="306"/>
      <c r="F148" s="306"/>
      <c r="G148" s="306"/>
      <c r="H148" s="306"/>
      <c r="I148" s="306"/>
      <c r="J148" s="306"/>
    </row>
    <row r="149" spans="2:10" customFormat="1">
      <c r="B149" s="278"/>
      <c r="C149" s="126"/>
      <c r="D149" s="306"/>
      <c r="E149" s="307"/>
      <c r="F149" s="307"/>
      <c r="G149" s="307"/>
      <c r="H149" s="307"/>
      <c r="I149" s="307"/>
      <c r="J149" s="307"/>
    </row>
    <row r="150" spans="2:10" customFormat="1">
      <c r="B150" s="278"/>
      <c r="C150" s="126"/>
      <c r="D150" s="306"/>
      <c r="E150" s="307"/>
      <c r="F150" s="307"/>
      <c r="G150" s="307"/>
      <c r="H150" s="307"/>
      <c r="I150" s="307"/>
      <c r="J150" s="307"/>
    </row>
    <row r="151" spans="2:10" customFormat="1">
      <c r="B151" s="278"/>
      <c r="C151" s="123"/>
      <c r="D151" s="306"/>
      <c r="E151" s="307"/>
      <c r="F151" s="307"/>
      <c r="G151" s="307"/>
      <c r="H151" s="307"/>
      <c r="I151" s="307"/>
      <c r="J151" s="307"/>
    </row>
    <row r="152" spans="2:10" customFormat="1">
      <c r="B152" s="278"/>
      <c r="C152" s="96"/>
      <c r="D152" s="306"/>
      <c r="E152" s="307"/>
      <c r="F152" s="307"/>
      <c r="G152" s="307"/>
      <c r="H152" s="307"/>
      <c r="I152" s="307"/>
      <c r="J152" s="307"/>
    </row>
    <row r="153" spans="2:10" customFormat="1">
      <c r="B153" s="278"/>
      <c r="C153" s="96"/>
      <c r="D153" s="306"/>
      <c r="E153" s="307"/>
      <c r="F153" s="307"/>
      <c r="G153" s="307"/>
      <c r="H153" s="307"/>
      <c r="I153" s="307"/>
      <c r="J153" s="307"/>
    </row>
    <row r="154" spans="2:10" customFormat="1">
      <c r="B154" s="278"/>
      <c r="C154" s="97"/>
      <c r="D154" s="306"/>
      <c r="E154" s="307"/>
      <c r="F154" s="307"/>
      <c r="G154" s="307"/>
      <c r="H154" s="307"/>
      <c r="I154" s="307"/>
      <c r="J154" s="307"/>
    </row>
    <row r="155" spans="2:10" customFormat="1">
      <c r="B155" s="278"/>
      <c r="C155" s="96"/>
      <c r="D155" s="306"/>
      <c r="E155" s="307"/>
      <c r="F155" s="307"/>
      <c r="G155" s="307"/>
      <c r="H155" s="307"/>
      <c r="I155" s="307"/>
      <c r="J155" s="307"/>
    </row>
    <row r="156" spans="2:10" customFormat="1">
      <c r="B156" s="278"/>
      <c r="C156" s="96"/>
      <c r="D156" s="306"/>
      <c r="E156" s="307"/>
      <c r="F156" s="307"/>
      <c r="G156" s="307"/>
      <c r="H156" s="307"/>
      <c r="I156" s="307"/>
      <c r="J156" s="307"/>
    </row>
    <row r="157" spans="2:10" customFormat="1">
      <c r="B157" s="278"/>
      <c r="C157" s="96"/>
      <c r="D157" s="306"/>
      <c r="E157" s="307"/>
      <c r="F157" s="307"/>
      <c r="G157" s="307"/>
      <c r="H157" s="307"/>
      <c r="I157" s="307"/>
      <c r="J157" s="307"/>
    </row>
    <row r="158" spans="2:10" customFormat="1">
      <c r="B158" s="278"/>
      <c r="C158" s="96"/>
      <c r="D158" s="306"/>
      <c r="E158" s="307"/>
      <c r="F158" s="307"/>
      <c r="G158" s="307"/>
      <c r="H158" s="307"/>
      <c r="I158" s="307"/>
      <c r="J158" s="307"/>
    </row>
    <row r="159" spans="2:10" customFormat="1">
      <c r="B159" s="278"/>
      <c r="C159" s="96"/>
      <c r="D159" s="306"/>
      <c r="E159" s="307"/>
      <c r="F159" s="307"/>
      <c r="G159" s="307"/>
      <c r="H159" s="307"/>
      <c r="I159" s="307"/>
      <c r="J159" s="307"/>
    </row>
    <row r="160" spans="2:10" customFormat="1">
      <c r="B160" s="278"/>
      <c r="C160" s="96"/>
      <c r="D160" s="306"/>
      <c r="E160" s="307"/>
      <c r="F160" s="307"/>
      <c r="G160" s="307"/>
      <c r="H160" s="307"/>
      <c r="I160" s="307"/>
      <c r="J160" s="307"/>
    </row>
    <row r="161" spans="2:3" customFormat="1">
      <c r="B161" s="278"/>
      <c r="C161" s="96"/>
    </row>
    <row r="162" spans="2:3" customFormat="1">
      <c r="B162" s="278"/>
      <c r="C162" s="96"/>
    </row>
    <row r="163" spans="2:3" customFormat="1">
      <c r="B163" s="278"/>
      <c r="C163" s="96"/>
    </row>
    <row r="164" spans="2:3" customFormat="1">
      <c r="B164" s="278"/>
      <c r="C164" s="96"/>
    </row>
    <row r="165" spans="2:3" customFormat="1">
      <c r="B165" s="278"/>
      <c r="C165" s="96"/>
    </row>
    <row r="166" spans="2:3" customFormat="1">
      <c r="B166" s="278"/>
      <c r="C166" s="96"/>
    </row>
    <row r="167" spans="2:3" customFormat="1">
      <c r="B167" s="278"/>
      <c r="C167" s="96"/>
    </row>
    <row r="168" spans="2:3" customFormat="1">
      <c r="B168" s="278"/>
      <c r="C168" s="96"/>
    </row>
    <row r="169" spans="2:3" customFormat="1">
      <c r="B169" s="278"/>
      <c r="C169" s="96"/>
    </row>
    <row r="170" spans="2:3" customFormat="1">
      <c r="B170" s="278"/>
      <c r="C170" s="96"/>
    </row>
    <row r="171" spans="2:3" customFormat="1">
      <c r="B171" s="278"/>
      <c r="C171" s="96"/>
    </row>
    <row r="172" spans="2:3" customFormat="1">
      <c r="B172" s="278"/>
      <c r="C172" s="96"/>
    </row>
    <row r="173" spans="2:3" customFormat="1">
      <c r="B173" s="278"/>
      <c r="C173" s="96"/>
    </row>
    <row r="174" spans="2:3" customFormat="1">
      <c r="B174" s="278"/>
      <c r="C174" s="96"/>
    </row>
    <row r="175" spans="2:3" customFormat="1">
      <c r="B175" s="278"/>
      <c r="C175" s="96"/>
    </row>
    <row r="176" spans="2:3" customFormat="1">
      <c r="B176" s="278"/>
      <c r="C176" s="96"/>
    </row>
    <row r="177" spans="2:3" customFormat="1">
      <c r="B177" s="278"/>
      <c r="C177" s="96"/>
    </row>
  </sheetData>
  <sheetProtection password="DF03" sheet="1" objects="1" scenarios="1"/>
  <mergeCells count="12">
    <mergeCell ref="B54:C54"/>
    <mergeCell ref="B15:C15"/>
    <mergeCell ref="B33:C33"/>
    <mergeCell ref="B45:C45"/>
    <mergeCell ref="B46:C46"/>
    <mergeCell ref="B53:C53"/>
    <mergeCell ref="B136:C136"/>
    <mergeCell ref="B59:C59"/>
    <mergeCell ref="B63:C63"/>
    <mergeCell ref="B79:C79"/>
    <mergeCell ref="B85:C85"/>
    <mergeCell ref="B98:C98"/>
  </mergeCells>
  <pageMargins left="0.5" right="0.5" top="0.5" bottom="0.5" header="0.3" footer="0.3"/>
  <pageSetup scale="90" orientation="landscape" r:id="rId1"/>
  <headerFooter>
    <oddFooter>&amp;LPPA, Jr. Budget Projections&amp;CPinellas Preparatory Academy, Inc.&amp;RPage &amp;P or &amp;N</oddFooter>
  </headerFooter>
  <rowBreaks count="3" manualBreakCount="3">
    <brk id="32" max="16383" man="1"/>
    <brk id="62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27"/>
  <sheetViews>
    <sheetView showGridLines="0" view="pageLayout" zoomScale="70" zoomScaleNormal="100" zoomScalePageLayoutView="70" workbookViewId="0"/>
  </sheetViews>
  <sheetFormatPr defaultRowHeight="12.75"/>
  <cols>
    <col min="1" max="1" width="14" style="26" bestFit="1" customWidth="1"/>
    <col min="2" max="2" width="15.85546875" style="26" customWidth="1"/>
    <col min="3" max="9" width="12.85546875" style="26" customWidth="1"/>
    <col min="10" max="12" width="11.85546875" style="26" bestFit="1" customWidth="1"/>
    <col min="13" max="13" width="11.28515625" style="26" bestFit="1" customWidth="1"/>
    <col min="14" max="14" width="10" style="26" bestFit="1" customWidth="1"/>
    <col min="15" max="15" width="8.7109375" style="26" bestFit="1" customWidth="1"/>
    <col min="16" max="16" width="9.7109375" style="26" bestFit="1" customWidth="1"/>
    <col min="17" max="17" width="8.28515625" style="26" bestFit="1" customWidth="1"/>
    <col min="18" max="18" width="8.7109375" style="26" bestFit="1" customWidth="1"/>
    <col min="19" max="16384" width="9.140625" style="26"/>
  </cols>
  <sheetData>
    <row r="1" spans="1:11" ht="27">
      <c r="A1" s="295" t="s">
        <v>203</v>
      </c>
      <c r="B1" s="295"/>
      <c r="C1" s="295"/>
      <c r="D1" s="295"/>
      <c r="E1" s="295"/>
      <c r="F1" s="295"/>
      <c r="G1" s="295"/>
      <c r="H1" s="295"/>
      <c r="I1" s="295"/>
    </row>
    <row r="2" spans="1:11">
      <c r="B2" s="27" t="s">
        <v>42</v>
      </c>
      <c r="J2" s="28"/>
      <c r="K2" s="29"/>
    </row>
    <row r="3" spans="1:11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J3" s="28"/>
      <c r="K3" s="29"/>
    </row>
    <row r="4" spans="1:11">
      <c r="B4" s="194" t="s">
        <v>468</v>
      </c>
      <c r="C4" s="197">
        <f>Combined!B10</f>
        <v>2481454.04</v>
      </c>
      <c r="D4" s="197">
        <f>Combined!C10</f>
        <v>2466474.1088</v>
      </c>
      <c r="E4" s="197">
        <f>Combined!D10</f>
        <v>2475847.8210960003</v>
      </c>
      <c r="F4" s="197">
        <f>Combined!E10</f>
        <v>2486553.00881832</v>
      </c>
      <c r="G4" s="197">
        <f>Combined!F10</f>
        <v>2498243.7596569546</v>
      </c>
      <c r="H4" s="197">
        <f>Combined!G10</f>
        <v>2511101.2403439395</v>
      </c>
      <c r="I4" s="197">
        <f>Combined!H10</f>
        <v>2525053.1323905606</v>
      </c>
      <c r="J4" s="28"/>
      <c r="K4" s="29"/>
    </row>
    <row r="5" spans="1:11" ht="13.5" thickBot="1">
      <c r="B5" s="195" t="s">
        <v>469</v>
      </c>
      <c r="C5" s="165">
        <f>Combined!B11</f>
        <v>2491374.6587593649</v>
      </c>
      <c r="D5" s="165">
        <f>Combined!C11</f>
        <v>2454934.7158448631</v>
      </c>
      <c r="E5" s="165">
        <f>Combined!D11</f>
        <v>2473483.6744637955</v>
      </c>
      <c r="F5" s="165">
        <f>Combined!E11</f>
        <v>2572276.0881462907</v>
      </c>
      <c r="G5" s="165">
        <f>Combined!F11</f>
        <v>2577950.2565252045</v>
      </c>
      <c r="H5" s="165">
        <f>Combined!G11</f>
        <v>2564082.7580324328</v>
      </c>
      <c r="I5" s="165">
        <f>Combined!H11</f>
        <v>2601360.873841804</v>
      </c>
      <c r="J5" s="28"/>
      <c r="K5" s="29"/>
    </row>
    <row r="6" spans="1:11" ht="13.5" thickBot="1">
      <c r="B6" s="166" t="s">
        <v>470</v>
      </c>
      <c r="C6" s="167">
        <f>Combined!B12</f>
        <v>-9920.618759364821</v>
      </c>
      <c r="D6" s="167">
        <f>Combined!C12</f>
        <v>11539.392955136951</v>
      </c>
      <c r="E6" s="167">
        <f>Combined!D12</f>
        <v>2364.1466322047636</v>
      </c>
      <c r="F6" s="167">
        <f>Combined!E12</f>
        <v>-85723.079327970743</v>
      </c>
      <c r="G6" s="167">
        <f>Combined!F12</f>
        <v>-79706.49686824996</v>
      </c>
      <c r="H6" s="167">
        <f>Combined!G12</f>
        <v>-52981.517688493244</v>
      </c>
      <c r="I6" s="167">
        <f>Combined!H12</f>
        <v>-76307.741451243404</v>
      </c>
      <c r="J6" s="28"/>
      <c r="K6" s="29"/>
    </row>
    <row r="7" spans="1:11" ht="13.5" thickTop="1">
      <c r="B7" s="168" t="s">
        <v>471</v>
      </c>
      <c r="C7" s="169">
        <f>Combined!B28</f>
        <v>635.36344863520935</v>
      </c>
      <c r="D7" s="169">
        <f>Combined!C28</f>
        <v>4088.3836645120755</v>
      </c>
      <c r="E7" s="169">
        <f>Combined!D28</f>
        <v>159558.14362255018</v>
      </c>
      <c r="F7" s="169">
        <f>Combined!E28</f>
        <v>58755.307399456389</v>
      </c>
      <c r="G7" s="169">
        <f>Combined!F28</f>
        <v>71968.6691986816</v>
      </c>
      <c r="H7" s="169">
        <f>Combined!G28</f>
        <v>132388.22050115</v>
      </c>
      <c r="I7" s="169">
        <f>Combined!H28</f>
        <v>63737.509453523904</v>
      </c>
      <c r="J7" s="28"/>
      <c r="K7" s="29"/>
    </row>
    <row r="9" spans="1:11" ht="23.25" thickBot="1">
      <c r="A9" s="34" t="s">
        <v>43</v>
      </c>
      <c r="B9" s="35"/>
      <c r="C9" s="35"/>
      <c r="D9" s="35"/>
      <c r="E9" s="35"/>
      <c r="F9" s="35"/>
      <c r="G9" s="35"/>
      <c r="H9" s="35"/>
      <c r="I9" s="35"/>
    </row>
    <row r="10" spans="1:11">
      <c r="B10" s="416" t="s">
        <v>44</v>
      </c>
      <c r="C10" s="416"/>
      <c r="D10" s="416"/>
      <c r="E10" s="416"/>
      <c r="F10" s="416"/>
      <c r="G10" s="416"/>
      <c r="H10" s="416"/>
      <c r="I10" s="416"/>
    </row>
    <row r="11" spans="1:11">
      <c r="B11" s="193" t="s">
        <v>45</v>
      </c>
      <c r="C11" s="192" t="s">
        <v>22</v>
      </c>
      <c r="D11" s="192" t="s">
        <v>98</v>
      </c>
      <c r="E11" s="192" t="s">
        <v>99</v>
      </c>
      <c r="F11" s="192" t="s">
        <v>100</v>
      </c>
      <c r="G11" s="192" t="s">
        <v>101</v>
      </c>
      <c r="H11" s="192" t="s">
        <v>102</v>
      </c>
      <c r="I11" s="192" t="s">
        <v>103</v>
      </c>
    </row>
    <row r="12" spans="1:11">
      <c r="B12" s="239">
        <v>4</v>
      </c>
      <c r="C12" s="238">
        <v>2</v>
      </c>
      <c r="D12" s="238">
        <v>2</v>
      </c>
      <c r="E12" s="238">
        <v>2</v>
      </c>
      <c r="F12" s="238">
        <v>2</v>
      </c>
      <c r="G12" s="238">
        <v>2</v>
      </c>
      <c r="H12" s="238">
        <v>2</v>
      </c>
      <c r="I12" s="238">
        <v>2</v>
      </c>
    </row>
    <row r="13" spans="1:11">
      <c r="B13" s="239">
        <v>5</v>
      </c>
      <c r="C13" s="238">
        <v>4</v>
      </c>
      <c r="D13" s="238">
        <v>4</v>
      </c>
      <c r="E13" s="238">
        <v>4</v>
      </c>
      <c r="F13" s="238">
        <v>4</v>
      </c>
      <c r="G13" s="238">
        <v>4</v>
      </c>
      <c r="H13" s="238">
        <v>4</v>
      </c>
      <c r="I13" s="238">
        <v>4</v>
      </c>
    </row>
    <row r="14" spans="1:11">
      <c r="B14" s="239">
        <v>6</v>
      </c>
      <c r="C14" s="238">
        <v>4</v>
      </c>
      <c r="D14" s="238">
        <v>4</v>
      </c>
      <c r="E14" s="238">
        <v>4</v>
      </c>
      <c r="F14" s="238">
        <v>4</v>
      </c>
      <c r="G14" s="238">
        <v>4</v>
      </c>
      <c r="H14" s="238">
        <v>4</v>
      </c>
      <c r="I14" s="238">
        <v>4</v>
      </c>
    </row>
    <row r="15" spans="1:11">
      <c r="B15" s="239">
        <v>7</v>
      </c>
      <c r="C15" s="238">
        <v>4</v>
      </c>
      <c r="D15" s="238">
        <v>4</v>
      </c>
      <c r="E15" s="238">
        <v>4</v>
      </c>
      <c r="F15" s="238">
        <v>4</v>
      </c>
      <c r="G15" s="238">
        <v>4</v>
      </c>
      <c r="H15" s="238">
        <v>4</v>
      </c>
      <c r="I15" s="238">
        <v>4</v>
      </c>
    </row>
    <row r="16" spans="1:11">
      <c r="B16" s="239">
        <v>8</v>
      </c>
      <c r="C16" s="238">
        <v>4</v>
      </c>
      <c r="D16" s="238">
        <v>4</v>
      </c>
      <c r="E16" s="238">
        <v>4</v>
      </c>
      <c r="F16" s="238">
        <v>4</v>
      </c>
      <c r="G16" s="238">
        <v>4</v>
      </c>
      <c r="H16" s="238">
        <v>4</v>
      </c>
      <c r="I16" s="238">
        <v>4</v>
      </c>
    </row>
    <row r="17" spans="1:9">
      <c r="C17" s="27"/>
    </row>
    <row r="18" spans="1:9" ht="25.5">
      <c r="B18" s="193" t="s">
        <v>45</v>
      </c>
      <c r="C18" s="193" t="s">
        <v>46</v>
      </c>
      <c r="D18" s="193" t="s">
        <v>106</v>
      </c>
      <c r="E18" s="193" t="s">
        <v>107</v>
      </c>
    </row>
    <row r="19" spans="1:9">
      <c r="B19" s="239">
        <v>4</v>
      </c>
      <c r="C19" s="53">
        <v>0.15</v>
      </c>
      <c r="D19" s="241">
        <v>22</v>
      </c>
      <c r="E19" s="241">
        <v>21.5</v>
      </c>
    </row>
    <row r="20" spans="1:9">
      <c r="B20" s="239">
        <v>5</v>
      </c>
      <c r="C20" s="53">
        <v>0.2</v>
      </c>
      <c r="D20" s="241">
        <v>22</v>
      </c>
      <c r="E20" s="241">
        <v>21.75</v>
      </c>
    </row>
    <row r="21" spans="1:9">
      <c r="B21" s="239">
        <v>6</v>
      </c>
      <c r="C21" s="53">
        <v>0.2</v>
      </c>
      <c r="D21" s="241">
        <v>22</v>
      </c>
      <c r="E21" s="241">
        <v>21.75</v>
      </c>
    </row>
    <row r="22" spans="1:9">
      <c r="B22" s="239">
        <v>7</v>
      </c>
      <c r="C22" s="53">
        <v>0.15</v>
      </c>
      <c r="D22" s="241">
        <v>22</v>
      </c>
      <c r="E22" s="241">
        <v>21.75</v>
      </c>
    </row>
    <row r="23" spans="1:9">
      <c r="B23" s="239">
        <v>8</v>
      </c>
      <c r="C23" s="53">
        <v>0.15</v>
      </c>
      <c r="D23" s="241">
        <v>22</v>
      </c>
      <c r="E23" s="241">
        <v>21.5</v>
      </c>
    </row>
    <row r="24" spans="1:9">
      <c r="C24" s="27"/>
    </row>
    <row r="25" spans="1:9">
      <c r="B25" s="54"/>
      <c r="C25" s="192" t="s">
        <v>22</v>
      </c>
      <c r="D25" s="192" t="s">
        <v>98</v>
      </c>
      <c r="E25" s="192" t="s">
        <v>99</v>
      </c>
      <c r="F25" s="192" t="s">
        <v>100</v>
      </c>
      <c r="G25" s="192" t="s">
        <v>101</v>
      </c>
      <c r="H25" s="192" t="s">
        <v>102</v>
      </c>
      <c r="I25" s="192" t="s">
        <v>103</v>
      </c>
    </row>
    <row r="26" spans="1:9">
      <c r="B26" s="190" t="s">
        <v>108</v>
      </c>
      <c r="C26" s="242">
        <f t="shared" ref="C26:I26" si="0">(C12*$D19)+(C13*$D20)+(C14*$D21)+(C15*$D22)+(C16*$D23)</f>
        <v>396</v>
      </c>
      <c r="D26" s="242">
        <f t="shared" si="0"/>
        <v>396</v>
      </c>
      <c r="E26" s="242">
        <f t="shared" si="0"/>
        <v>396</v>
      </c>
      <c r="F26" s="242">
        <f t="shared" si="0"/>
        <v>396</v>
      </c>
      <c r="G26" s="242">
        <f t="shared" si="0"/>
        <v>396</v>
      </c>
      <c r="H26" s="242">
        <f t="shared" si="0"/>
        <v>396</v>
      </c>
      <c r="I26" s="242">
        <f t="shared" si="0"/>
        <v>396</v>
      </c>
    </row>
    <row r="27" spans="1:9">
      <c r="B27" s="190" t="s">
        <v>109</v>
      </c>
      <c r="C27" s="242">
        <f t="shared" ref="C27:I27" si="1">(C12*$E19)+(C13*$E20)+(C14*$E21)+(C15*$E22)+(C16*$E23)</f>
        <v>390</v>
      </c>
      <c r="D27" s="242">
        <f t="shared" si="1"/>
        <v>390</v>
      </c>
      <c r="E27" s="242">
        <f t="shared" si="1"/>
        <v>390</v>
      </c>
      <c r="F27" s="242">
        <f t="shared" si="1"/>
        <v>390</v>
      </c>
      <c r="G27" s="242">
        <f t="shared" si="1"/>
        <v>390</v>
      </c>
      <c r="H27" s="242">
        <f t="shared" si="1"/>
        <v>390</v>
      </c>
      <c r="I27" s="242">
        <f t="shared" si="1"/>
        <v>390</v>
      </c>
    </row>
    <row r="28" spans="1:9">
      <c r="B28" s="190" t="s">
        <v>110</v>
      </c>
      <c r="C28" s="242">
        <f>ROUNDDOWN((C12*$E19*$C19),0)+ROUNDDOWN((C13*$E20*$C20),0)+ROUNDDOWN((C14*$E21*$C21),0)+ROUNDDOWN((C15*$E22*$C22),0)+ROUNDDOWN((C16*$E23*$C23),0)</f>
        <v>65</v>
      </c>
      <c r="D28" s="242">
        <f t="shared" ref="D28:I28" si="2">ROUNDDOWN((D12*$E19*$C19),0)+ROUNDDOWN((D13*$E20*$C20),0)+ROUNDDOWN((D14*$E21*$C21),0)+ROUNDDOWN((D15*$E22*$C22),0)+ROUNDDOWN((D16*$E23*$C23),0)</f>
        <v>65</v>
      </c>
      <c r="E28" s="242">
        <f t="shared" si="2"/>
        <v>65</v>
      </c>
      <c r="F28" s="242">
        <f t="shared" si="2"/>
        <v>65</v>
      </c>
      <c r="G28" s="242">
        <f t="shared" si="2"/>
        <v>65</v>
      </c>
      <c r="H28" s="242">
        <f t="shared" si="2"/>
        <v>65</v>
      </c>
      <c r="I28" s="242">
        <f t="shared" si="2"/>
        <v>65</v>
      </c>
    </row>
    <row r="29" spans="1:9">
      <c r="C29" s="27"/>
    </row>
    <row r="30" spans="1:9" ht="15" customHeight="1">
      <c r="A30" s="417" t="s">
        <v>45</v>
      </c>
      <c r="B30" s="417"/>
      <c r="C30" s="192" t="s">
        <v>22</v>
      </c>
      <c r="D30" s="192" t="s">
        <v>98</v>
      </c>
      <c r="E30" s="192" t="s">
        <v>99</v>
      </c>
      <c r="F30" s="192" t="s">
        <v>100</v>
      </c>
      <c r="G30" s="192" t="s">
        <v>101</v>
      </c>
      <c r="H30" s="192" t="s">
        <v>102</v>
      </c>
      <c r="I30" s="192" t="s">
        <v>103</v>
      </c>
    </row>
    <row r="31" spans="1:9" ht="15" customHeight="1">
      <c r="A31" s="408" t="s">
        <v>114</v>
      </c>
      <c r="B31" s="408"/>
      <c r="C31" s="244">
        <f t="shared" ref="C31:I31" si="3">SUM(C12:C16)</f>
        <v>18</v>
      </c>
      <c r="D31" s="244">
        <f t="shared" si="3"/>
        <v>18</v>
      </c>
      <c r="E31" s="244">
        <f t="shared" si="3"/>
        <v>18</v>
      </c>
      <c r="F31" s="244">
        <f t="shared" si="3"/>
        <v>18</v>
      </c>
      <c r="G31" s="244">
        <f t="shared" si="3"/>
        <v>18</v>
      </c>
      <c r="H31" s="244">
        <f t="shared" si="3"/>
        <v>18</v>
      </c>
      <c r="I31" s="244">
        <f t="shared" si="3"/>
        <v>18</v>
      </c>
    </row>
    <row r="32" spans="1:9">
      <c r="A32" s="408" t="s">
        <v>115</v>
      </c>
      <c r="B32" s="408"/>
      <c r="C32" s="238">
        <v>1</v>
      </c>
      <c r="D32" s="238">
        <v>1</v>
      </c>
      <c r="E32" s="238">
        <v>1</v>
      </c>
      <c r="F32" s="238">
        <v>1</v>
      </c>
      <c r="G32" s="238">
        <v>1</v>
      </c>
      <c r="H32" s="238">
        <v>1</v>
      </c>
      <c r="I32" s="238">
        <v>1</v>
      </c>
    </row>
    <row r="33" spans="1:9">
      <c r="A33" s="408" t="s">
        <v>116</v>
      </c>
      <c r="B33" s="408"/>
      <c r="C33" s="238">
        <v>1</v>
      </c>
      <c r="D33" s="238">
        <v>1</v>
      </c>
      <c r="E33" s="238">
        <v>1</v>
      </c>
      <c r="F33" s="238">
        <v>1</v>
      </c>
      <c r="G33" s="238">
        <v>1</v>
      </c>
      <c r="H33" s="238">
        <v>1</v>
      </c>
      <c r="I33" s="238">
        <v>1</v>
      </c>
    </row>
    <row r="34" spans="1:9">
      <c r="A34" s="408" t="s">
        <v>117</v>
      </c>
      <c r="B34" s="408"/>
      <c r="C34" s="238">
        <v>2</v>
      </c>
      <c r="D34" s="238">
        <v>2</v>
      </c>
      <c r="E34" s="238">
        <v>2</v>
      </c>
      <c r="F34" s="238">
        <v>2</v>
      </c>
      <c r="G34" s="238">
        <v>2</v>
      </c>
      <c r="H34" s="238">
        <v>2</v>
      </c>
      <c r="I34" s="238">
        <v>2</v>
      </c>
    </row>
    <row r="35" spans="1:9">
      <c r="A35" s="408" t="s">
        <v>118</v>
      </c>
      <c r="B35" s="408"/>
      <c r="C35" s="238">
        <v>2</v>
      </c>
      <c r="D35" s="238">
        <v>2</v>
      </c>
      <c r="E35" s="238">
        <v>2</v>
      </c>
      <c r="F35" s="238">
        <v>2</v>
      </c>
      <c r="G35" s="238">
        <v>2</v>
      </c>
      <c r="H35" s="238">
        <v>2</v>
      </c>
      <c r="I35" s="238">
        <v>2</v>
      </c>
    </row>
    <row r="36" spans="1:9">
      <c r="A36" s="408" t="s">
        <v>67</v>
      </c>
      <c r="B36" s="408"/>
      <c r="C36" s="238">
        <v>1.5</v>
      </c>
      <c r="D36" s="238">
        <v>1</v>
      </c>
      <c r="E36" s="238">
        <v>1</v>
      </c>
      <c r="F36" s="238">
        <v>1.5</v>
      </c>
      <c r="G36" s="238">
        <v>1.5</v>
      </c>
      <c r="H36" s="238">
        <v>1.5</v>
      </c>
      <c r="I36" s="238">
        <v>1.5</v>
      </c>
    </row>
    <row r="37" spans="1:9" ht="13.5" thickBot="1">
      <c r="A37" s="405" t="s">
        <v>119</v>
      </c>
      <c r="B37" s="405"/>
      <c r="C37" s="245">
        <v>0.5</v>
      </c>
      <c r="D37" s="245">
        <v>0.5</v>
      </c>
      <c r="E37" s="245">
        <v>0.5</v>
      </c>
      <c r="F37" s="245">
        <v>0.5</v>
      </c>
      <c r="G37" s="245">
        <v>0.5</v>
      </c>
      <c r="H37" s="245">
        <v>0.5</v>
      </c>
      <c r="I37" s="245">
        <v>0.5</v>
      </c>
    </row>
    <row r="38" spans="1:9" ht="15" customHeight="1">
      <c r="A38" s="415" t="s">
        <v>120</v>
      </c>
      <c r="B38" s="415"/>
      <c r="C38" s="246">
        <f>SUM(C31:C37)</f>
        <v>26</v>
      </c>
      <c r="D38" s="246">
        <f t="shared" ref="D38:I38" si="4">SUM(D31:D37)</f>
        <v>25.5</v>
      </c>
      <c r="E38" s="246">
        <f t="shared" si="4"/>
        <v>25.5</v>
      </c>
      <c r="F38" s="246">
        <f t="shared" si="4"/>
        <v>26</v>
      </c>
      <c r="G38" s="246">
        <f t="shared" si="4"/>
        <v>26</v>
      </c>
      <c r="H38" s="246">
        <f t="shared" si="4"/>
        <v>26</v>
      </c>
      <c r="I38" s="246">
        <f t="shared" si="4"/>
        <v>26</v>
      </c>
    </row>
    <row r="40" spans="1:9" ht="23.25" thickBot="1">
      <c r="A40" s="34" t="s">
        <v>48</v>
      </c>
      <c r="B40" s="35"/>
      <c r="C40" s="35"/>
      <c r="D40" s="35"/>
      <c r="E40" s="35"/>
      <c r="F40" s="35"/>
      <c r="G40" s="35"/>
      <c r="H40" s="35"/>
      <c r="I40" s="35"/>
    </row>
    <row r="41" spans="1:9" ht="22.5">
      <c r="B41" s="25" t="s">
        <v>49</v>
      </c>
    </row>
    <row r="42" spans="1:9">
      <c r="B42" s="401" t="s">
        <v>111</v>
      </c>
      <c r="C42" s="401"/>
      <c r="D42" s="401"/>
      <c r="E42" s="401"/>
      <c r="F42" s="401"/>
      <c r="G42" s="401"/>
      <c r="H42" s="401"/>
      <c r="I42" s="401"/>
    </row>
    <row r="43" spans="1:9">
      <c r="B43" s="54"/>
      <c r="C43" s="192" t="s">
        <v>22</v>
      </c>
      <c r="D43" s="192" t="s">
        <v>98</v>
      </c>
      <c r="E43" s="192" t="s">
        <v>99</v>
      </c>
      <c r="F43" s="192" t="s">
        <v>100</v>
      </c>
      <c r="G43" s="192" t="s">
        <v>101</v>
      </c>
      <c r="H43" s="192" t="s">
        <v>102</v>
      </c>
      <c r="I43" s="192" t="s">
        <v>103</v>
      </c>
    </row>
    <row r="44" spans="1:9">
      <c r="B44" s="190" t="s">
        <v>112</v>
      </c>
      <c r="C44" s="56">
        <v>37300</v>
      </c>
      <c r="D44" s="56">
        <f t="shared" ref="D44:I44" si="5">200+C44</f>
        <v>37500</v>
      </c>
      <c r="E44" s="56">
        <f t="shared" si="5"/>
        <v>37700</v>
      </c>
      <c r="F44" s="56">
        <f t="shared" si="5"/>
        <v>37900</v>
      </c>
      <c r="G44" s="56">
        <f t="shared" si="5"/>
        <v>38100</v>
      </c>
      <c r="H44" s="56">
        <f t="shared" si="5"/>
        <v>38300</v>
      </c>
      <c r="I44" s="56">
        <f t="shared" si="5"/>
        <v>38500</v>
      </c>
    </row>
    <row r="45" spans="1:9">
      <c r="B45" s="190" t="s">
        <v>124</v>
      </c>
      <c r="C45" s="74">
        <f>(C44-37300)/37300</f>
        <v>0</v>
      </c>
      <c r="D45" s="74">
        <f t="shared" ref="D45:I45" si="6">(D44-C44)/C44</f>
        <v>5.3619302949061663E-3</v>
      </c>
      <c r="E45" s="74">
        <f t="shared" si="6"/>
        <v>5.3333333333333332E-3</v>
      </c>
      <c r="F45" s="74">
        <f t="shared" si="6"/>
        <v>5.3050397877984082E-3</v>
      </c>
      <c r="G45" s="74">
        <f t="shared" si="6"/>
        <v>5.2770448548812663E-3</v>
      </c>
      <c r="H45" s="74">
        <f t="shared" si="6"/>
        <v>5.2493438320209973E-3</v>
      </c>
      <c r="I45" s="74">
        <f t="shared" si="6"/>
        <v>5.2219321148825066E-3</v>
      </c>
    </row>
    <row r="46" spans="1:9">
      <c r="B46" s="190" t="s">
        <v>137</v>
      </c>
      <c r="C46" s="70">
        <v>0.155</v>
      </c>
      <c r="D46" s="70">
        <v>0.155</v>
      </c>
      <c r="E46" s="70">
        <v>0.155</v>
      </c>
      <c r="F46" s="70">
        <v>0.155</v>
      </c>
      <c r="G46" s="70">
        <v>0.155</v>
      </c>
      <c r="H46" s="70">
        <v>0.155</v>
      </c>
      <c r="I46" s="70">
        <v>0.155</v>
      </c>
    </row>
    <row r="47" spans="1:9">
      <c r="B47" s="190" t="s">
        <v>10</v>
      </c>
      <c r="C47" s="70" t="b">
        <v>1</v>
      </c>
      <c r="D47" s="70" t="b">
        <v>1</v>
      </c>
      <c r="E47" s="70" t="b">
        <v>1</v>
      </c>
      <c r="F47" s="70" t="b">
        <v>1</v>
      </c>
      <c r="G47" s="70" t="b">
        <v>1</v>
      </c>
      <c r="H47" s="70" t="b">
        <v>1</v>
      </c>
      <c r="I47" s="70" t="b">
        <v>1</v>
      </c>
    </row>
    <row r="48" spans="1:9">
      <c r="B48" s="190" t="s">
        <v>113</v>
      </c>
      <c r="C48" s="63">
        <f>'Salary Schedules'!E97</f>
        <v>40994.134615384617</v>
      </c>
      <c r="D48" s="63">
        <f>'Salary Schedules'!F97</f>
        <v>41668.269230769234</v>
      </c>
      <c r="E48" s="63">
        <f>'Salary Schedules'!G97</f>
        <v>42557.5</v>
      </c>
      <c r="F48" s="63">
        <f>'Salary Schedules'!H97</f>
        <v>43410.076923076922</v>
      </c>
      <c r="G48" s="63">
        <f>'Salary Schedules'!I97</f>
        <v>44320.557692307695</v>
      </c>
      <c r="H48" s="63">
        <f>'Salary Schedules'!J97</f>
        <v>45267.653846153844</v>
      </c>
      <c r="I48" s="63">
        <f>'Salary Schedules'!K97</f>
        <v>46170.384615384617</v>
      </c>
    </row>
    <row r="49" spans="1:9" ht="15">
      <c r="B49" s="36"/>
      <c r="C49" s="37"/>
      <c r="D49" s="37"/>
      <c r="E49" s="37"/>
      <c r="F49" s="37"/>
      <c r="G49" s="37"/>
      <c r="H49" s="37"/>
      <c r="I49" s="37"/>
    </row>
    <row r="50" spans="1:9" ht="23.25" thickBot="1">
      <c r="B50" s="40" t="s">
        <v>134</v>
      </c>
      <c r="C50" s="41"/>
      <c r="D50" s="41"/>
      <c r="E50" s="41"/>
      <c r="F50" s="41"/>
      <c r="G50" s="41"/>
      <c r="H50" s="41"/>
      <c r="I50" s="41"/>
    </row>
    <row r="51" spans="1:9">
      <c r="B51" s="401" t="s">
        <v>135</v>
      </c>
      <c r="C51" s="401"/>
      <c r="D51" s="401"/>
      <c r="E51" s="401"/>
      <c r="F51" s="401"/>
      <c r="G51" s="401"/>
      <c r="H51" s="401"/>
      <c r="I51" s="401"/>
    </row>
    <row r="52" spans="1:9">
      <c r="B52" s="54"/>
      <c r="C52" s="192" t="s">
        <v>22</v>
      </c>
      <c r="D52" s="192" t="s">
        <v>98</v>
      </c>
      <c r="E52" s="192" t="s">
        <v>99</v>
      </c>
      <c r="F52" s="192" t="s">
        <v>100</v>
      </c>
      <c r="G52" s="192" t="s">
        <v>101</v>
      </c>
      <c r="H52" s="192" t="s">
        <v>102</v>
      </c>
      <c r="I52" s="192" t="s">
        <v>103</v>
      </c>
    </row>
    <row r="53" spans="1:9">
      <c r="B53" s="190" t="s">
        <v>136</v>
      </c>
      <c r="C53" s="247">
        <v>10</v>
      </c>
      <c r="D53" s="247">
        <v>10</v>
      </c>
      <c r="E53" s="247">
        <v>10</v>
      </c>
      <c r="F53" s="247">
        <v>10</v>
      </c>
      <c r="G53" s="247">
        <v>10</v>
      </c>
      <c r="H53" s="247">
        <v>10</v>
      </c>
      <c r="I53" s="247">
        <v>10</v>
      </c>
    </row>
    <row r="54" spans="1:9">
      <c r="B54" s="190" t="s">
        <v>121</v>
      </c>
      <c r="C54" s="247">
        <v>7</v>
      </c>
      <c r="D54" s="247">
        <v>6</v>
      </c>
      <c r="E54" s="247">
        <v>6</v>
      </c>
      <c r="F54" s="247">
        <v>6</v>
      </c>
      <c r="G54" s="247">
        <v>6</v>
      </c>
      <c r="H54" s="247">
        <v>6</v>
      </c>
      <c r="I54" s="247">
        <v>6</v>
      </c>
    </row>
    <row r="55" spans="1:9">
      <c r="B55" s="190" t="s">
        <v>122</v>
      </c>
      <c r="C55" s="58">
        <v>80</v>
      </c>
      <c r="D55" s="59">
        <v>85</v>
      </c>
      <c r="E55" s="59">
        <v>85</v>
      </c>
      <c r="F55" s="59">
        <v>85</v>
      </c>
      <c r="G55" s="59">
        <v>90</v>
      </c>
      <c r="H55" s="59">
        <v>90</v>
      </c>
      <c r="I55" s="59">
        <v>90</v>
      </c>
    </row>
    <row r="56" spans="1:9">
      <c r="B56" s="190" t="s">
        <v>123</v>
      </c>
      <c r="C56" s="247">
        <v>15</v>
      </c>
      <c r="D56" s="247">
        <v>15</v>
      </c>
      <c r="E56" s="247">
        <v>15</v>
      </c>
      <c r="F56" s="247">
        <v>15</v>
      </c>
      <c r="G56" s="247">
        <v>15</v>
      </c>
      <c r="H56" s="247">
        <v>15</v>
      </c>
      <c r="I56" s="247">
        <v>15</v>
      </c>
    </row>
    <row r="57" spans="1:9">
      <c r="B57" s="190" t="s">
        <v>132</v>
      </c>
      <c r="C57" s="67">
        <f t="shared" ref="C57:I57" si="7">((C38*C53)+C56)*C55</f>
        <v>22000</v>
      </c>
      <c r="D57" s="67">
        <f t="shared" si="7"/>
        <v>22950</v>
      </c>
      <c r="E57" s="67">
        <f t="shared" si="7"/>
        <v>22950</v>
      </c>
      <c r="F57" s="67">
        <f t="shared" si="7"/>
        <v>23375</v>
      </c>
      <c r="G57" s="67">
        <f t="shared" si="7"/>
        <v>24750</v>
      </c>
      <c r="H57" s="67">
        <f t="shared" si="7"/>
        <v>24750</v>
      </c>
      <c r="I57" s="67">
        <f t="shared" si="7"/>
        <v>24750</v>
      </c>
    </row>
    <row r="58" spans="1:9">
      <c r="B58" s="190" t="s">
        <v>162</v>
      </c>
      <c r="C58" s="67">
        <f>'Salary Schedules'!M97</f>
        <v>633.92991673275162</v>
      </c>
      <c r="D58" s="67">
        <f>'Salary Schedules'!N97</f>
        <v>859.13957176843769</v>
      </c>
      <c r="E58" s="67">
        <f>'Salary Schedules'!O97</f>
        <v>877.47422680412353</v>
      </c>
      <c r="F58" s="67">
        <f>'Salary Schedules'!P97</f>
        <v>895.05313243457579</v>
      </c>
      <c r="G58" s="67">
        <f>'Salary Schedules'!Q97</f>
        <v>913.82593180015886</v>
      </c>
      <c r="H58" s="67">
        <f>'Salary Schedules'!R97</f>
        <v>933.35368754956369</v>
      </c>
      <c r="I58" s="67">
        <f>'Salary Schedules'!S97</f>
        <v>951.96669310071343</v>
      </c>
    </row>
    <row r="59" spans="1:9">
      <c r="B59" s="190" t="s">
        <v>133</v>
      </c>
      <c r="C59" s="68">
        <f>'Salary Schedules'!M98</f>
        <v>16482.177835051541</v>
      </c>
      <c r="D59" s="68">
        <f>'Salary Schedules'!N98</f>
        <v>22337.628865979379</v>
      </c>
      <c r="E59" s="68">
        <f>'Salary Schedules'!O98</f>
        <v>22814.329896907213</v>
      </c>
      <c r="F59" s="68">
        <f>'Salary Schedules'!P98</f>
        <v>23271.381443298971</v>
      </c>
      <c r="G59" s="68">
        <f>'Salary Schedules'!Q98</f>
        <v>23759.47422680413</v>
      </c>
      <c r="H59" s="68">
        <f>'Salary Schedules'!R98</f>
        <v>24267.195876288657</v>
      </c>
      <c r="I59" s="68">
        <f>'Salary Schedules'!S98</f>
        <v>24751.134020618549</v>
      </c>
    </row>
    <row r="61" spans="1:9" ht="23.25" thickBot="1">
      <c r="B61" s="40" t="s">
        <v>138</v>
      </c>
      <c r="C61" s="41"/>
      <c r="D61" s="41"/>
      <c r="E61" s="41"/>
      <c r="F61" s="41"/>
      <c r="G61" s="41"/>
      <c r="H61" s="41"/>
      <c r="I61" s="41"/>
    </row>
    <row r="62" spans="1:9">
      <c r="B62" s="54"/>
      <c r="C62" s="192" t="s">
        <v>22</v>
      </c>
      <c r="D62" s="192" t="s">
        <v>98</v>
      </c>
      <c r="E62" s="192" t="s">
        <v>99</v>
      </c>
      <c r="F62" s="192" t="s">
        <v>100</v>
      </c>
      <c r="G62" s="192" t="s">
        <v>101</v>
      </c>
      <c r="H62" s="192" t="s">
        <v>102</v>
      </c>
      <c r="I62" s="192" t="s">
        <v>103</v>
      </c>
    </row>
    <row r="63" spans="1:9">
      <c r="A63" s="72" t="s">
        <v>142</v>
      </c>
      <c r="B63" s="401"/>
      <c r="C63" s="401"/>
      <c r="D63" s="401"/>
      <c r="E63" s="401"/>
      <c r="F63" s="401"/>
      <c r="G63" s="401"/>
      <c r="H63" s="401"/>
      <c r="I63" s="401"/>
    </row>
    <row r="64" spans="1:9" ht="15" customHeight="1">
      <c r="A64" s="400" t="s">
        <v>53</v>
      </c>
      <c r="B64" s="400"/>
      <c r="C64" s="62">
        <f>(76344*(1-SharedStaff!C27))++(60000*(SharedStaff!C27))</f>
        <v>73075.200000000012</v>
      </c>
      <c r="D64" s="62">
        <f t="shared" ref="D64:I64" si="8">C64+(C64*D45)</f>
        <v>73467.024128686346</v>
      </c>
      <c r="E64" s="62">
        <f t="shared" si="8"/>
        <v>73858.84825737268</v>
      </c>
      <c r="F64" s="62">
        <f t="shared" si="8"/>
        <v>74250.672386059014</v>
      </c>
      <c r="G64" s="62">
        <f t="shared" si="8"/>
        <v>74642.496514745348</v>
      </c>
      <c r="H64" s="62">
        <f t="shared" si="8"/>
        <v>75034.320643431682</v>
      </c>
      <c r="I64" s="62">
        <f t="shared" si="8"/>
        <v>75426.144772118016</v>
      </c>
    </row>
    <row r="65" spans="1:9">
      <c r="A65" s="400" t="s">
        <v>139</v>
      </c>
      <c r="B65" s="400"/>
      <c r="C65" s="71">
        <v>1</v>
      </c>
      <c r="D65" s="71">
        <v>1</v>
      </c>
      <c r="E65" s="71">
        <v>1</v>
      </c>
      <c r="F65" s="71">
        <v>1</v>
      </c>
      <c r="G65" s="71">
        <v>1</v>
      </c>
      <c r="H65" s="71">
        <v>1</v>
      </c>
      <c r="I65" s="71">
        <v>1</v>
      </c>
    </row>
    <row r="66" spans="1:9" ht="15" customHeight="1">
      <c r="A66" s="400" t="s">
        <v>330</v>
      </c>
      <c r="B66" s="400"/>
      <c r="C66" s="247">
        <v>10</v>
      </c>
      <c r="D66" s="247">
        <v>10</v>
      </c>
      <c r="E66" s="247">
        <v>10</v>
      </c>
      <c r="F66" s="247">
        <v>10</v>
      </c>
      <c r="G66" s="247">
        <v>10</v>
      </c>
      <c r="H66" s="247">
        <v>10</v>
      </c>
      <c r="I66" s="247">
        <v>10</v>
      </c>
    </row>
    <row r="67" spans="1:9" ht="6.75" customHeight="1">
      <c r="B67" s="401"/>
      <c r="C67" s="401"/>
      <c r="D67" s="401"/>
      <c r="E67" s="401"/>
      <c r="F67" s="401"/>
      <c r="G67" s="401"/>
      <c r="H67" s="401"/>
      <c r="I67" s="401"/>
    </row>
    <row r="68" spans="1:9">
      <c r="A68" s="400" t="s">
        <v>55</v>
      </c>
      <c r="B68" s="400"/>
      <c r="C68" s="58">
        <f>'Salary Schedules'!E97</f>
        <v>40994.134615384617</v>
      </c>
      <c r="D68" s="58">
        <f>'Salary Schedules'!F97</f>
        <v>41668.269230769234</v>
      </c>
      <c r="E68" s="58">
        <f>'Salary Schedules'!G97</f>
        <v>42557.5</v>
      </c>
      <c r="F68" s="58">
        <f>'Salary Schedules'!H97</f>
        <v>43410.076923076922</v>
      </c>
      <c r="G68" s="58">
        <f>'Salary Schedules'!I97</f>
        <v>44320.557692307695</v>
      </c>
      <c r="H68" s="58">
        <f>'Salary Schedules'!J97</f>
        <v>45267.653846153844</v>
      </c>
      <c r="I68" s="58">
        <f>'Salary Schedules'!K97</f>
        <v>46170.384615384617</v>
      </c>
    </row>
    <row r="69" spans="1:9">
      <c r="A69" s="400" t="s">
        <v>140</v>
      </c>
      <c r="B69" s="400"/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</row>
    <row r="70" spans="1:9" ht="6.75" customHeight="1">
      <c r="B70" s="401"/>
      <c r="C70" s="401"/>
      <c r="D70" s="401"/>
      <c r="E70" s="401"/>
      <c r="F70" s="401"/>
      <c r="G70" s="401"/>
      <c r="H70" s="401"/>
      <c r="I70" s="401"/>
    </row>
    <row r="71" spans="1:9">
      <c r="A71" s="72" t="s">
        <v>143</v>
      </c>
      <c r="B71" s="401"/>
      <c r="C71" s="401"/>
      <c r="D71" s="401"/>
      <c r="E71" s="401"/>
      <c r="F71" s="401"/>
      <c r="G71" s="401"/>
      <c r="H71" s="401"/>
      <c r="I71" s="401"/>
    </row>
    <row r="72" spans="1:9">
      <c r="A72" s="400" t="s">
        <v>141</v>
      </c>
      <c r="B72" s="400"/>
      <c r="C72" s="58">
        <v>11.63</v>
      </c>
      <c r="D72" s="58">
        <f>C72+(C72*D$45)</f>
        <v>11.69235924932976</v>
      </c>
      <c r="E72" s="58">
        <f>D72+(D72*E45)</f>
        <v>11.754718498659519</v>
      </c>
      <c r="F72" s="58">
        <f>E72+(E72*F45)</f>
        <v>11.817077747989279</v>
      </c>
      <c r="G72" s="58">
        <f>F72+(F72*G45)</f>
        <v>11.879436997319038</v>
      </c>
      <c r="H72" s="58">
        <f>G72+(G72*H45)</f>
        <v>11.941796246648797</v>
      </c>
      <c r="I72" s="58">
        <f>H72+(H72*I45)</f>
        <v>12.004155495978557</v>
      </c>
    </row>
    <row r="73" spans="1:9">
      <c r="A73" s="400" t="s">
        <v>165</v>
      </c>
      <c r="B73" s="400"/>
      <c r="C73" s="247">
        <v>235</v>
      </c>
      <c r="D73" s="247">
        <v>0</v>
      </c>
      <c r="E73" s="247">
        <v>0</v>
      </c>
      <c r="F73" s="247">
        <v>0</v>
      </c>
      <c r="G73" s="247">
        <v>0</v>
      </c>
      <c r="H73" s="247">
        <v>0</v>
      </c>
      <c r="I73" s="247">
        <v>0</v>
      </c>
    </row>
    <row r="74" spans="1:9">
      <c r="A74" s="400" t="s">
        <v>166</v>
      </c>
      <c r="B74" s="400"/>
      <c r="C74" s="71">
        <v>8</v>
      </c>
      <c r="D74" s="71">
        <v>8</v>
      </c>
      <c r="E74" s="71">
        <v>8</v>
      </c>
      <c r="F74" s="71">
        <v>8</v>
      </c>
      <c r="G74" s="71">
        <v>8</v>
      </c>
      <c r="H74" s="71">
        <v>8</v>
      </c>
      <c r="I74" s="71">
        <v>8</v>
      </c>
    </row>
    <row r="75" spans="1:9" ht="6.75" customHeight="1">
      <c r="B75" s="401"/>
      <c r="C75" s="401"/>
      <c r="D75" s="401"/>
      <c r="E75" s="401"/>
      <c r="F75" s="401"/>
      <c r="G75" s="401"/>
      <c r="H75" s="401"/>
      <c r="I75" s="401"/>
    </row>
    <row r="76" spans="1:9">
      <c r="A76" s="400" t="s">
        <v>57</v>
      </c>
      <c r="B76" s="400"/>
      <c r="C76" s="58">
        <v>11.53</v>
      </c>
      <c r="D76" s="58">
        <f t="shared" ref="D76:I76" si="9">C76+(C76*D$45)</f>
        <v>11.591823056300267</v>
      </c>
      <c r="E76" s="58">
        <f t="shared" si="9"/>
        <v>11.653646112600535</v>
      </c>
      <c r="F76" s="58">
        <f t="shared" si="9"/>
        <v>11.715469168900803</v>
      </c>
      <c r="G76" s="58">
        <f t="shared" si="9"/>
        <v>11.777292225201071</v>
      </c>
      <c r="H76" s="58">
        <f t="shared" si="9"/>
        <v>11.839115281501339</v>
      </c>
      <c r="I76" s="58">
        <f t="shared" si="9"/>
        <v>11.900938337801607</v>
      </c>
    </row>
    <row r="77" spans="1:9">
      <c r="A77" s="400" t="s">
        <v>177</v>
      </c>
      <c r="B77" s="400"/>
      <c r="C77" s="247">
        <v>1</v>
      </c>
      <c r="D77" s="247">
        <v>1</v>
      </c>
      <c r="E77" s="247">
        <v>1</v>
      </c>
      <c r="F77" s="247">
        <v>1</v>
      </c>
      <c r="G77" s="247">
        <v>1</v>
      </c>
      <c r="H77" s="247">
        <v>1</v>
      </c>
      <c r="I77" s="247">
        <v>1</v>
      </c>
    </row>
    <row r="78" spans="1:9">
      <c r="A78" s="400" t="s">
        <v>167</v>
      </c>
      <c r="B78" s="400"/>
      <c r="C78" s="247">
        <v>203</v>
      </c>
      <c r="D78" s="247">
        <v>203</v>
      </c>
      <c r="E78" s="247">
        <v>203</v>
      </c>
      <c r="F78" s="247">
        <v>203</v>
      </c>
      <c r="G78" s="247">
        <v>203</v>
      </c>
      <c r="H78" s="247">
        <v>203</v>
      </c>
      <c r="I78" s="247">
        <v>203</v>
      </c>
    </row>
    <row r="79" spans="1:9">
      <c r="A79" s="400" t="s">
        <v>168</v>
      </c>
      <c r="B79" s="400"/>
      <c r="C79" s="71">
        <v>8</v>
      </c>
      <c r="D79" s="71">
        <v>8</v>
      </c>
      <c r="E79" s="71">
        <v>8</v>
      </c>
      <c r="F79" s="71">
        <v>8</v>
      </c>
      <c r="G79" s="71">
        <v>8</v>
      </c>
      <c r="H79" s="71">
        <v>8</v>
      </c>
      <c r="I79" s="71">
        <v>8</v>
      </c>
    </row>
    <row r="80" spans="1:9" ht="6.75" customHeight="1">
      <c r="B80" s="401"/>
      <c r="C80" s="401"/>
      <c r="D80" s="401"/>
      <c r="E80" s="401"/>
      <c r="F80" s="401"/>
      <c r="G80" s="401"/>
      <c r="H80" s="401"/>
      <c r="I80" s="401"/>
    </row>
    <row r="81" spans="1:9">
      <c r="A81" s="403" t="s">
        <v>155</v>
      </c>
      <c r="B81" s="403"/>
      <c r="C81" s="58">
        <v>0</v>
      </c>
      <c r="D81" s="58">
        <f>'Salary Schedules'!F160</f>
        <v>0</v>
      </c>
      <c r="E81" s="58">
        <f>'Salary Schedules'!G160</f>
        <v>0</v>
      </c>
      <c r="F81" s="58">
        <f>'Salary Schedules'!H160</f>
        <v>0</v>
      </c>
      <c r="G81" s="58">
        <f>'Salary Schedules'!I160</f>
        <v>0</v>
      </c>
      <c r="H81" s="58">
        <f>'Salary Schedules'!J160</f>
        <v>0</v>
      </c>
      <c r="I81" s="58">
        <f>'Salary Schedules'!K160</f>
        <v>0</v>
      </c>
    </row>
    <row r="82" spans="1:9">
      <c r="A82" s="403" t="s">
        <v>169</v>
      </c>
      <c r="B82" s="403"/>
      <c r="C82" s="247">
        <v>0</v>
      </c>
      <c r="D82" s="247">
        <v>0</v>
      </c>
      <c r="E82" s="247">
        <v>0</v>
      </c>
      <c r="F82" s="247">
        <v>0</v>
      </c>
      <c r="G82" s="247">
        <v>0</v>
      </c>
      <c r="H82" s="247">
        <v>0</v>
      </c>
      <c r="I82" s="247">
        <v>0</v>
      </c>
    </row>
    <row r="83" spans="1:9">
      <c r="A83" s="403" t="s">
        <v>170</v>
      </c>
      <c r="B83" s="403"/>
      <c r="C83" s="71">
        <v>0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</row>
    <row r="84" spans="1:9" ht="6.75" customHeight="1">
      <c r="B84" s="401"/>
      <c r="C84" s="401"/>
      <c r="D84" s="401"/>
      <c r="E84" s="401"/>
      <c r="F84" s="401"/>
      <c r="G84" s="401"/>
      <c r="H84" s="401"/>
      <c r="I84" s="401"/>
    </row>
    <row r="85" spans="1:9">
      <c r="A85" s="72" t="s">
        <v>155</v>
      </c>
      <c r="B85" s="401"/>
      <c r="C85" s="401"/>
      <c r="D85" s="401"/>
      <c r="E85" s="401"/>
      <c r="F85" s="401"/>
      <c r="G85" s="401"/>
      <c r="H85" s="401"/>
      <c r="I85" s="401"/>
    </row>
    <row r="86" spans="1:9">
      <c r="A86" s="400" t="s">
        <v>158</v>
      </c>
      <c r="B86" s="400"/>
      <c r="C86" s="58">
        <f>C76</f>
        <v>11.53</v>
      </c>
      <c r="D86" s="58">
        <f t="shared" ref="D86:I86" si="10">D76</f>
        <v>11.591823056300267</v>
      </c>
      <c r="E86" s="58">
        <f t="shared" si="10"/>
        <v>11.653646112600535</v>
      </c>
      <c r="F86" s="58">
        <f t="shared" si="10"/>
        <v>11.715469168900803</v>
      </c>
      <c r="G86" s="58">
        <f t="shared" si="10"/>
        <v>11.777292225201071</v>
      </c>
      <c r="H86" s="58">
        <f t="shared" si="10"/>
        <v>11.839115281501339</v>
      </c>
      <c r="I86" s="58">
        <f t="shared" si="10"/>
        <v>11.900938337801607</v>
      </c>
    </row>
    <row r="87" spans="1:9">
      <c r="A87" s="400" t="s">
        <v>157</v>
      </c>
      <c r="B87" s="400"/>
      <c r="C87" s="71">
        <v>50</v>
      </c>
      <c r="D87" s="71">
        <v>50</v>
      </c>
      <c r="E87" s="71">
        <v>50</v>
      </c>
      <c r="F87" s="71">
        <v>50</v>
      </c>
      <c r="G87" s="71">
        <v>50</v>
      </c>
      <c r="H87" s="71">
        <v>50</v>
      </c>
      <c r="I87" s="71">
        <v>50</v>
      </c>
    </row>
    <row r="88" spans="1:9" s="39" customFormat="1" ht="15">
      <c r="B88" s="43"/>
      <c r="C88" s="38"/>
      <c r="D88" s="38"/>
      <c r="E88" s="38"/>
      <c r="F88" s="38"/>
      <c r="G88" s="38"/>
      <c r="H88" s="38"/>
      <c r="I88" s="38"/>
    </row>
    <row r="89" spans="1:9" ht="23.25" thickBot="1">
      <c r="B89" s="40" t="s">
        <v>58</v>
      </c>
      <c r="C89" s="41"/>
      <c r="D89" s="41"/>
      <c r="E89" s="41"/>
      <c r="F89" s="41"/>
      <c r="G89" s="41"/>
      <c r="H89" s="41"/>
      <c r="I89" s="41"/>
    </row>
    <row r="90" spans="1:9" ht="32.25" customHeight="1">
      <c r="B90" s="401" t="s">
        <v>59</v>
      </c>
      <c r="C90" s="401"/>
      <c r="D90" s="401"/>
      <c r="E90" s="401"/>
      <c r="F90" s="401"/>
      <c r="G90" s="401"/>
      <c r="H90" s="401"/>
      <c r="I90" s="401"/>
    </row>
    <row r="91" spans="1:9">
      <c r="C91" s="192" t="s">
        <v>22</v>
      </c>
      <c r="D91" s="192" t="s">
        <v>98</v>
      </c>
      <c r="E91" s="192" t="s">
        <v>99</v>
      </c>
      <c r="F91" s="192" t="s">
        <v>100</v>
      </c>
      <c r="G91" s="192" t="s">
        <v>101</v>
      </c>
      <c r="H91" s="192" t="s">
        <v>102</v>
      </c>
      <c r="I91" s="192" t="s">
        <v>103</v>
      </c>
    </row>
    <row r="92" spans="1:9">
      <c r="B92" s="190" t="s">
        <v>159</v>
      </c>
      <c r="C92" s="73">
        <f>SharedStaff!C70</f>
        <v>2.35E-2</v>
      </c>
      <c r="D92" s="73">
        <f>SharedStaff!D70</f>
        <v>2.35E-2</v>
      </c>
      <c r="E92" s="73">
        <f>SharedStaff!E70</f>
        <v>2.35E-2</v>
      </c>
      <c r="F92" s="73">
        <f>SharedStaff!F70</f>
        <v>2.35E-2</v>
      </c>
      <c r="G92" s="73">
        <f>SharedStaff!G70</f>
        <v>2.35E-2</v>
      </c>
      <c r="H92" s="73">
        <f>SharedStaff!H70</f>
        <v>2.35E-2</v>
      </c>
      <c r="I92" s="73">
        <f>SharedStaff!I70</f>
        <v>2.35E-2</v>
      </c>
    </row>
    <row r="93" spans="1:9">
      <c r="B93" s="190" t="s">
        <v>175</v>
      </c>
      <c r="C93" s="73">
        <f>SharedStaff!C71</f>
        <v>7.6499999999999999E-2</v>
      </c>
      <c r="D93" s="73">
        <f>SharedStaff!D71</f>
        <v>7.6499999999999999E-2</v>
      </c>
      <c r="E93" s="73">
        <f>SharedStaff!E71</f>
        <v>7.6499999999999999E-2</v>
      </c>
      <c r="F93" s="73">
        <f>SharedStaff!F71</f>
        <v>7.6499999999999999E-2</v>
      </c>
      <c r="G93" s="73">
        <f>SharedStaff!G71</f>
        <v>7.6499999999999999E-2</v>
      </c>
      <c r="H93" s="73">
        <f>SharedStaff!H71</f>
        <v>7.6499999999999999E-2</v>
      </c>
      <c r="I93" s="73">
        <f>SharedStaff!I71</f>
        <v>7.6499999999999999E-2</v>
      </c>
    </row>
    <row r="94" spans="1:9">
      <c r="B94" s="190" t="s">
        <v>60</v>
      </c>
      <c r="C94" s="73">
        <f>SharedStaff!C72</f>
        <v>5.3E-3</v>
      </c>
      <c r="D94" s="73">
        <f>SharedStaff!D72</f>
        <v>5.3E-3</v>
      </c>
      <c r="E94" s="73">
        <f>SharedStaff!E72</f>
        <v>5.3E-3</v>
      </c>
      <c r="F94" s="73">
        <f>SharedStaff!F72</f>
        <v>5.3E-3</v>
      </c>
      <c r="G94" s="73">
        <f>SharedStaff!G72</f>
        <v>5.3E-3</v>
      </c>
      <c r="H94" s="73">
        <f>SharedStaff!H72</f>
        <v>5.3E-3</v>
      </c>
      <c r="I94" s="73">
        <f>SharedStaff!I72</f>
        <v>5.3E-3</v>
      </c>
    </row>
    <row r="95" spans="1:9">
      <c r="B95" s="190" t="s">
        <v>61</v>
      </c>
      <c r="C95" s="73">
        <f>SharedStaff!C73</f>
        <v>4.4900000000000002E-2</v>
      </c>
      <c r="D95" s="73">
        <f>SharedStaff!D73</f>
        <v>4.4900000000000002E-2</v>
      </c>
      <c r="E95" s="73">
        <f>SharedStaff!E73</f>
        <v>4.4900000000000002E-2</v>
      </c>
      <c r="F95" s="73">
        <f>SharedStaff!F73</f>
        <v>4.4900000000000002E-2</v>
      </c>
      <c r="G95" s="73">
        <f>SharedStaff!G73</f>
        <v>4.4900000000000002E-2</v>
      </c>
      <c r="H95" s="73">
        <f>SharedStaff!H73</f>
        <v>4.4900000000000002E-2</v>
      </c>
      <c r="I95" s="73">
        <f>SharedStaff!I73</f>
        <v>4.4900000000000002E-2</v>
      </c>
    </row>
    <row r="96" spans="1:9" ht="6" customHeight="1">
      <c r="C96" s="39"/>
      <c r="D96" s="39"/>
      <c r="E96" s="39"/>
      <c r="F96" s="39"/>
      <c r="G96" s="39"/>
      <c r="H96" s="39"/>
      <c r="I96" s="39"/>
    </row>
    <row r="97" spans="1:18">
      <c r="B97" s="190" t="s">
        <v>62</v>
      </c>
      <c r="C97" s="73">
        <f>SharedStaff!C75</f>
        <v>5.3999999999999999E-2</v>
      </c>
      <c r="D97" s="73">
        <f>SharedStaff!D75</f>
        <v>5.3999999999999999E-2</v>
      </c>
      <c r="E97" s="73">
        <f>SharedStaff!E75</f>
        <v>5.3999999999999999E-2</v>
      </c>
      <c r="F97" s="73">
        <f>SharedStaff!F75</f>
        <v>5.3999999999999999E-2</v>
      </c>
      <c r="G97" s="73">
        <f>SharedStaff!G75</f>
        <v>5.3999999999999999E-2</v>
      </c>
      <c r="H97" s="73">
        <f>SharedStaff!H75</f>
        <v>5.3999999999999999E-2</v>
      </c>
      <c r="I97" s="73">
        <f>SharedStaff!I75</f>
        <v>5.3999999999999999E-2</v>
      </c>
    </row>
    <row r="98" spans="1:18">
      <c r="B98" s="190" t="s">
        <v>160</v>
      </c>
      <c r="C98" s="63">
        <f>SharedStaff!C76</f>
        <v>7000</v>
      </c>
      <c r="D98" s="63">
        <f>SharedStaff!D76</f>
        <v>8000</v>
      </c>
      <c r="E98" s="63">
        <f>SharedStaff!E76</f>
        <v>8000</v>
      </c>
      <c r="F98" s="63">
        <f>SharedStaff!F76</f>
        <v>7500</v>
      </c>
      <c r="G98" s="63">
        <f>SharedStaff!G76</f>
        <v>7000</v>
      </c>
      <c r="H98" s="63">
        <f>SharedStaff!H76</f>
        <v>6500</v>
      </c>
      <c r="I98" s="63">
        <f>SharedStaff!I76</f>
        <v>6000</v>
      </c>
    </row>
    <row r="100" spans="1:18" ht="23.25" thickBot="1">
      <c r="B100" s="40" t="s">
        <v>64</v>
      </c>
      <c r="C100" s="41"/>
      <c r="D100" s="41"/>
      <c r="E100" s="41"/>
      <c r="F100" s="41"/>
      <c r="G100" s="41"/>
      <c r="H100" s="41"/>
      <c r="I100" s="41"/>
    </row>
    <row r="102" spans="1:18">
      <c r="C102" s="192" t="s">
        <v>22</v>
      </c>
      <c r="D102" s="192" t="s">
        <v>98</v>
      </c>
      <c r="E102" s="192" t="s">
        <v>99</v>
      </c>
      <c r="F102" s="192" t="s">
        <v>100</v>
      </c>
      <c r="G102" s="192" t="s">
        <v>101</v>
      </c>
      <c r="H102" s="192" t="s">
        <v>102</v>
      </c>
      <c r="I102" s="192" t="s">
        <v>103</v>
      </c>
      <c r="J102" s="44"/>
      <c r="M102" s="45"/>
      <c r="N102" s="46"/>
      <c r="O102" s="45"/>
      <c r="P102" s="45"/>
      <c r="Q102" s="45"/>
      <c r="R102" s="45"/>
    </row>
    <row r="103" spans="1:18">
      <c r="A103" s="72" t="s">
        <v>161</v>
      </c>
      <c r="J103" s="44"/>
      <c r="M103" s="45"/>
      <c r="N103" s="46"/>
      <c r="O103" s="45"/>
      <c r="P103" s="45"/>
      <c r="Q103" s="45"/>
      <c r="R103" s="45"/>
    </row>
    <row r="104" spans="1:18" ht="15">
      <c r="A104" s="30"/>
      <c r="B104" s="31" t="s">
        <v>29</v>
      </c>
      <c r="C104" s="82">
        <f t="shared" ref="C104:I104" si="11">(C31*(C48+C58))</f>
        <v>749305.16157811251</v>
      </c>
      <c r="D104" s="82">
        <f t="shared" si="11"/>
        <v>765493.35844567802</v>
      </c>
      <c r="E104" s="82">
        <f t="shared" si="11"/>
        <v>781829.53608247417</v>
      </c>
      <c r="F104" s="82">
        <f t="shared" si="11"/>
        <v>797492.34099920699</v>
      </c>
      <c r="G104" s="82">
        <f t="shared" si="11"/>
        <v>814218.90523394139</v>
      </c>
      <c r="H104" s="82">
        <f t="shared" si="11"/>
        <v>831618.13560666132</v>
      </c>
      <c r="I104" s="82">
        <f t="shared" si="11"/>
        <v>848202.32355273596</v>
      </c>
      <c r="K104" s="33"/>
      <c r="L104" s="33"/>
      <c r="M104" s="33"/>
      <c r="N104" s="33"/>
      <c r="O104" s="33"/>
      <c r="P104" s="33"/>
      <c r="Q104" s="33"/>
      <c r="R104" s="33"/>
    </row>
    <row r="105" spans="1:18" ht="15">
      <c r="A105" s="30"/>
      <c r="B105" s="31" t="s">
        <v>30</v>
      </c>
      <c r="C105" s="79">
        <f t="shared" ref="C105:I105" si="12">SUM(C32:C35,C37)*(C48+C58)</f>
        <v>270582.41945876286</v>
      </c>
      <c r="D105" s="79">
        <f t="shared" si="12"/>
        <v>276428.15721649484</v>
      </c>
      <c r="E105" s="79">
        <f t="shared" si="12"/>
        <v>282327.33247422677</v>
      </c>
      <c r="F105" s="79">
        <f t="shared" si="12"/>
        <v>287983.34536082478</v>
      </c>
      <c r="G105" s="79">
        <f t="shared" si="12"/>
        <v>294023.49355670105</v>
      </c>
      <c r="H105" s="79">
        <f t="shared" si="12"/>
        <v>300306.54896907217</v>
      </c>
      <c r="I105" s="79">
        <f t="shared" si="12"/>
        <v>306295.28350515466</v>
      </c>
      <c r="K105" s="33"/>
    </row>
    <row r="106" spans="1:18" ht="15">
      <c r="A106" s="30"/>
      <c r="B106" s="31" t="s">
        <v>68</v>
      </c>
      <c r="C106" s="32">
        <f>C76*C78*C79*C77</f>
        <v>18724.719999999998</v>
      </c>
      <c r="D106" s="32">
        <f t="shared" ref="D106:I106" si="13">D76*D78*D79*D77</f>
        <v>18825.120643431634</v>
      </c>
      <c r="E106" s="32">
        <f t="shared" si="13"/>
        <v>18925.52128686327</v>
      </c>
      <c r="F106" s="32">
        <f t="shared" si="13"/>
        <v>19025.921930294906</v>
      </c>
      <c r="G106" s="32">
        <f t="shared" si="13"/>
        <v>19126.322573726538</v>
      </c>
      <c r="H106" s="32">
        <f t="shared" si="13"/>
        <v>19226.723217158175</v>
      </c>
      <c r="I106" s="32">
        <f t="shared" si="13"/>
        <v>19327.123860589811</v>
      </c>
      <c r="K106" s="33"/>
      <c r="M106" s="33"/>
    </row>
    <row r="107" spans="1:18" ht="15">
      <c r="A107" s="30"/>
      <c r="B107" s="31" t="s">
        <v>175</v>
      </c>
      <c r="C107" s="32">
        <f>SUM(C104:C106)*C$93</f>
        <v>79453.84102932096</v>
      </c>
      <c r="D107" s="32">
        <f t="shared" ref="D107:I107" si="14">SUM(D104:D106)*D$93</f>
        <v>81147.11767737873</v>
      </c>
      <c r="E107" s="32">
        <f t="shared" si="14"/>
        <v>82855.80282303266</v>
      </c>
      <c r="F107" s="32">
        <f t="shared" si="14"/>
        <v>84494.373034210003</v>
      </c>
      <c r="G107" s="32">
        <f t="shared" si="14"/>
        <v>86243.707184374216</v>
      </c>
      <c r="H107" s="32">
        <f t="shared" si="14"/>
        <v>88063.082696156212</v>
      </c>
      <c r="I107" s="32">
        <f t="shared" si="14"/>
        <v>89797.591915263765</v>
      </c>
      <c r="K107" s="33"/>
      <c r="M107" s="33"/>
    </row>
    <row r="108" spans="1:18" ht="15">
      <c r="A108" s="30"/>
      <c r="B108" s="31" t="s">
        <v>66</v>
      </c>
      <c r="C108" s="32">
        <f>SUM(C104:C106)*C$94</f>
        <v>5504.6451954954391</v>
      </c>
      <c r="D108" s="32">
        <f t="shared" ref="D108:I108" si="15">SUM(D104:D106)*D$94</f>
        <v>5621.9571724197031</v>
      </c>
      <c r="E108" s="32">
        <f t="shared" si="15"/>
        <v>5740.3366661708906</v>
      </c>
      <c r="F108" s="32">
        <f t="shared" si="15"/>
        <v>5853.8585239387321</v>
      </c>
      <c r="G108" s="32">
        <f t="shared" si="15"/>
        <v>5975.0542232311554</v>
      </c>
      <c r="H108" s="32">
        <f t="shared" si="15"/>
        <v>6101.1024613023255</v>
      </c>
      <c r="I108" s="32">
        <f t="shared" si="15"/>
        <v>6221.2710738679471</v>
      </c>
      <c r="K108" s="33"/>
      <c r="M108" s="33"/>
    </row>
    <row r="109" spans="1:18" ht="15">
      <c r="A109" s="30"/>
      <c r="B109" s="31" t="s">
        <v>176</v>
      </c>
      <c r="C109" s="32">
        <f t="shared" ref="C109:I109" si="16">(SUM(C31:C35,C37)+C77)*C98*C97</f>
        <v>9639</v>
      </c>
      <c r="D109" s="32">
        <f t="shared" si="16"/>
        <v>11016</v>
      </c>
      <c r="E109" s="32">
        <f t="shared" si="16"/>
        <v>11016</v>
      </c>
      <c r="F109" s="32">
        <f t="shared" si="16"/>
        <v>10327.5</v>
      </c>
      <c r="G109" s="32">
        <f t="shared" si="16"/>
        <v>9639</v>
      </c>
      <c r="H109" s="32">
        <f t="shared" si="16"/>
        <v>8950.5</v>
      </c>
      <c r="I109" s="32">
        <f t="shared" si="16"/>
        <v>8262</v>
      </c>
      <c r="K109" s="33"/>
      <c r="M109" s="33"/>
    </row>
    <row r="110" spans="1:18" ht="15">
      <c r="A110" s="30"/>
      <c r="B110" s="31" t="s">
        <v>52</v>
      </c>
      <c r="C110" s="32">
        <f>SUM(C104:C106)*C$46</f>
        <v>160984.90666071567</v>
      </c>
      <c r="D110" s="32">
        <f t="shared" ref="D110:I110" si="17">SUM(D104:D106)*D46</f>
        <v>164415.72862736866</v>
      </c>
      <c r="E110" s="32">
        <f t="shared" si="17"/>
        <v>167877.77042575245</v>
      </c>
      <c r="F110" s="32">
        <f t="shared" si="17"/>
        <v>171197.74928500064</v>
      </c>
      <c r="G110" s="32">
        <f t="shared" si="17"/>
        <v>174742.15181147718</v>
      </c>
      <c r="H110" s="32">
        <f t="shared" si="17"/>
        <v>178428.4682078982</v>
      </c>
      <c r="I110" s="32">
        <f t="shared" si="17"/>
        <v>181942.83329236449</v>
      </c>
      <c r="K110" s="33"/>
      <c r="M110" s="33"/>
    </row>
    <row r="111" spans="1:18" ht="6" customHeight="1"/>
    <row r="112" spans="1:18">
      <c r="A112" s="72" t="s">
        <v>163</v>
      </c>
      <c r="J112" s="44"/>
      <c r="M112" s="45"/>
      <c r="N112" s="46"/>
      <c r="O112" s="45"/>
      <c r="P112" s="45"/>
      <c r="Q112" s="45"/>
      <c r="R112" s="45"/>
    </row>
    <row r="113" spans="1:18" ht="15">
      <c r="A113" s="30"/>
      <c r="B113" s="31" t="s">
        <v>67</v>
      </c>
      <c r="C113" s="79">
        <f t="shared" ref="C113:I113" si="18">SUM(C36)*(C48+C58)</f>
        <v>62442.096798176048</v>
      </c>
      <c r="D113" s="79">
        <f t="shared" si="18"/>
        <v>42527.40880253767</v>
      </c>
      <c r="E113" s="79">
        <f t="shared" si="18"/>
        <v>43434.974226804123</v>
      </c>
      <c r="F113" s="79">
        <f t="shared" si="18"/>
        <v>66457.695083267259</v>
      </c>
      <c r="G113" s="79">
        <f t="shared" si="18"/>
        <v>67851.575436161773</v>
      </c>
      <c r="H113" s="79">
        <f t="shared" si="18"/>
        <v>69301.51130055511</v>
      </c>
      <c r="I113" s="79">
        <f t="shared" si="18"/>
        <v>70683.526962728007</v>
      </c>
      <c r="K113" s="33"/>
    </row>
    <row r="114" spans="1:18" ht="15">
      <c r="A114" s="30"/>
      <c r="B114" s="31" t="s">
        <v>175</v>
      </c>
      <c r="C114" s="32">
        <f>C113*C$93</f>
        <v>4776.8204050604672</v>
      </c>
      <c r="D114" s="32">
        <f t="shared" ref="D114:I114" si="19">D113*D$93</f>
        <v>3253.3467733941316</v>
      </c>
      <c r="E114" s="32">
        <f t="shared" si="19"/>
        <v>3322.7755283505153</v>
      </c>
      <c r="F114" s="32">
        <f t="shared" si="19"/>
        <v>5084.0136738699448</v>
      </c>
      <c r="G114" s="32">
        <f t="shared" si="19"/>
        <v>5190.6455208663756</v>
      </c>
      <c r="H114" s="32">
        <f t="shared" si="19"/>
        <v>5301.565614492466</v>
      </c>
      <c r="I114" s="32">
        <f t="shared" si="19"/>
        <v>5407.2898126486925</v>
      </c>
      <c r="K114" s="33"/>
      <c r="M114" s="33"/>
    </row>
    <row r="115" spans="1:18" ht="15">
      <c r="A115" s="30"/>
      <c r="B115" s="31" t="s">
        <v>66</v>
      </c>
      <c r="C115" s="32">
        <f>C113*C$94</f>
        <v>330.94311303033305</v>
      </c>
      <c r="D115" s="32">
        <f t="shared" ref="D115:I115" si="20">D113*D$94</f>
        <v>225.39526665344965</v>
      </c>
      <c r="E115" s="32">
        <f t="shared" si="20"/>
        <v>230.20536340206186</v>
      </c>
      <c r="F115" s="32">
        <f t="shared" si="20"/>
        <v>352.22578394131648</v>
      </c>
      <c r="G115" s="32">
        <f t="shared" si="20"/>
        <v>359.61334981165737</v>
      </c>
      <c r="H115" s="32">
        <f t="shared" si="20"/>
        <v>367.2980098929421</v>
      </c>
      <c r="I115" s="32">
        <f t="shared" si="20"/>
        <v>374.62269290245843</v>
      </c>
      <c r="K115" s="33"/>
      <c r="M115" s="33"/>
    </row>
    <row r="116" spans="1:18" ht="15">
      <c r="A116" s="30"/>
      <c r="B116" s="31" t="s">
        <v>176</v>
      </c>
      <c r="C116" s="81">
        <f t="shared" ref="C116:I116" si="21">(C36)*C$98*C$97</f>
        <v>567</v>
      </c>
      <c r="D116" s="81">
        <f t="shared" si="21"/>
        <v>432</v>
      </c>
      <c r="E116" s="81">
        <f t="shared" si="21"/>
        <v>432</v>
      </c>
      <c r="F116" s="81">
        <f t="shared" si="21"/>
        <v>607.5</v>
      </c>
      <c r="G116" s="81">
        <f t="shared" si="21"/>
        <v>567</v>
      </c>
      <c r="H116" s="81">
        <f t="shared" si="21"/>
        <v>526.5</v>
      </c>
      <c r="I116" s="81">
        <f t="shared" si="21"/>
        <v>486</v>
      </c>
      <c r="K116" s="33"/>
      <c r="M116" s="33"/>
    </row>
    <row r="117" spans="1:18" ht="15">
      <c r="A117" s="30"/>
      <c r="B117" s="31" t="s">
        <v>52</v>
      </c>
      <c r="C117" s="32">
        <f>C113*C$46</f>
        <v>9678.5250037172882</v>
      </c>
      <c r="D117" s="32">
        <f t="shared" ref="D117:I117" si="22">D113*D$46</f>
        <v>6591.7483643933383</v>
      </c>
      <c r="E117" s="32">
        <f t="shared" si="22"/>
        <v>6732.4210051546388</v>
      </c>
      <c r="F117" s="32">
        <f t="shared" si="22"/>
        <v>10300.942737906425</v>
      </c>
      <c r="G117" s="32">
        <f t="shared" si="22"/>
        <v>10516.994192605074</v>
      </c>
      <c r="H117" s="32">
        <f t="shared" si="22"/>
        <v>10741.734251586042</v>
      </c>
      <c r="I117" s="32">
        <f t="shared" si="22"/>
        <v>10955.946679222841</v>
      </c>
      <c r="K117" s="33"/>
      <c r="M117" s="33"/>
    </row>
    <row r="118" spans="1:18" ht="6" customHeight="1"/>
    <row r="119" spans="1:18">
      <c r="A119" s="72" t="s">
        <v>282</v>
      </c>
      <c r="J119" s="44"/>
      <c r="M119" s="45"/>
      <c r="N119" s="46"/>
      <c r="O119" s="45"/>
      <c r="P119" s="45"/>
      <c r="Q119" s="45"/>
      <c r="R119" s="45"/>
    </row>
    <row r="120" spans="1:18" ht="15">
      <c r="A120" s="30"/>
      <c r="B120" s="31" t="s">
        <v>28</v>
      </c>
      <c r="C120" s="32">
        <f>(C64*C65)+(C68*C69)+((C66*(C64/247))*C65)</f>
        <v>76033.710121457509</v>
      </c>
      <c r="D120" s="32">
        <f t="shared" ref="D120:I120" si="23">(D64*D65)+(D68*D69)+((D66*(D64/247))*D65)</f>
        <v>76441.397575191862</v>
      </c>
      <c r="E120" s="32">
        <f t="shared" si="23"/>
        <v>76849.085028926231</v>
      </c>
      <c r="F120" s="32">
        <f t="shared" si="23"/>
        <v>77256.772482660599</v>
      </c>
      <c r="G120" s="32">
        <f t="shared" si="23"/>
        <v>77664.459936394953</v>
      </c>
      <c r="H120" s="32">
        <f t="shared" si="23"/>
        <v>78072.147390129321</v>
      </c>
      <c r="I120" s="32">
        <f t="shared" si="23"/>
        <v>78479.834843863689</v>
      </c>
      <c r="K120" s="33"/>
    </row>
    <row r="121" spans="1:18" ht="15">
      <c r="A121" s="30"/>
      <c r="B121" s="31" t="s">
        <v>69</v>
      </c>
      <c r="C121" s="32">
        <f>(C72*C73*C74)+(C81*C82*C83)+(C87*C86)</f>
        <v>22440.9</v>
      </c>
      <c r="D121" s="32">
        <f t="shared" ref="D121:I121" si="24">(D72*D73*D74)+(D81*D82*D83)+(D87*D86)</f>
        <v>579.5911528150134</v>
      </c>
      <c r="E121" s="32">
        <f t="shared" si="24"/>
        <v>582.6823056300268</v>
      </c>
      <c r="F121" s="32">
        <f t="shared" si="24"/>
        <v>585.77345844504021</v>
      </c>
      <c r="G121" s="32">
        <f t="shared" si="24"/>
        <v>588.86461126005361</v>
      </c>
      <c r="H121" s="32">
        <f t="shared" si="24"/>
        <v>591.95576407506701</v>
      </c>
      <c r="I121" s="32">
        <f t="shared" si="24"/>
        <v>595.04691689008041</v>
      </c>
      <c r="K121" s="33"/>
    </row>
    <row r="122" spans="1:18" ht="15">
      <c r="A122" s="30"/>
      <c r="B122" s="31" t="s">
        <v>175</v>
      </c>
      <c r="C122" s="32">
        <f>SUM(C120:C121)*C$93</f>
        <v>7533.3076742915</v>
      </c>
      <c r="D122" s="32">
        <f t="shared" ref="D122:I122" si="25">SUM(D120:D121)*D$93</f>
        <v>5892.1056376925262</v>
      </c>
      <c r="E122" s="32">
        <f t="shared" si="25"/>
        <v>5923.5302010935529</v>
      </c>
      <c r="F122" s="32">
        <f t="shared" si="25"/>
        <v>5954.9547644945815</v>
      </c>
      <c r="G122" s="32">
        <f t="shared" si="25"/>
        <v>5986.3793278956082</v>
      </c>
      <c r="H122" s="32">
        <f t="shared" si="25"/>
        <v>6017.8038912966358</v>
      </c>
      <c r="I122" s="32">
        <f t="shared" si="25"/>
        <v>6049.2284546976625</v>
      </c>
      <c r="K122" s="33"/>
      <c r="M122" s="33"/>
    </row>
    <row r="123" spans="1:18" ht="15">
      <c r="A123" s="30"/>
      <c r="B123" s="31" t="s">
        <v>66</v>
      </c>
      <c r="C123" s="32">
        <f>SUM(C120:C121)*C$94</f>
        <v>521.9154336437249</v>
      </c>
      <c r="D123" s="32">
        <f t="shared" ref="D123:I123" si="26">SUM(D120:D121)*D$94</f>
        <v>408.21124025843648</v>
      </c>
      <c r="E123" s="32">
        <f t="shared" si="26"/>
        <v>410.38836687314813</v>
      </c>
      <c r="F123" s="32">
        <f t="shared" si="26"/>
        <v>412.5654934878599</v>
      </c>
      <c r="G123" s="32">
        <f t="shared" si="26"/>
        <v>414.74262010257155</v>
      </c>
      <c r="H123" s="32">
        <f t="shared" si="26"/>
        <v>416.91974671728326</v>
      </c>
      <c r="I123" s="32">
        <f t="shared" si="26"/>
        <v>419.09687333199497</v>
      </c>
      <c r="K123" s="33"/>
      <c r="M123" s="33"/>
    </row>
    <row r="124" spans="1:18" ht="15">
      <c r="A124" s="30"/>
      <c r="B124" s="31" t="s">
        <v>176</v>
      </c>
      <c r="C124" s="81">
        <f>(C65+C69+IF(OR(C73=0,C74=0),0,1)+IF(OR(C82=0,C83=0),0,1))*C$98*C$97</f>
        <v>756</v>
      </c>
      <c r="D124" s="81">
        <f t="shared" ref="D124:I124" si="27">(D65+D69+IF(OR(D73=0,D74=0),0,1)+IF(OR(D82=0,D83=0),0,1))*D$98*D$97</f>
        <v>432</v>
      </c>
      <c r="E124" s="81">
        <f t="shared" si="27"/>
        <v>432</v>
      </c>
      <c r="F124" s="81">
        <f t="shared" si="27"/>
        <v>405</v>
      </c>
      <c r="G124" s="81">
        <f t="shared" si="27"/>
        <v>378</v>
      </c>
      <c r="H124" s="81">
        <f t="shared" si="27"/>
        <v>351</v>
      </c>
      <c r="I124" s="81">
        <f t="shared" si="27"/>
        <v>324</v>
      </c>
      <c r="K124" s="33"/>
      <c r="M124" s="33"/>
    </row>
    <row r="125" spans="1:18" ht="15">
      <c r="A125" s="30"/>
      <c r="B125" s="31" t="s">
        <v>52</v>
      </c>
      <c r="C125" s="32">
        <f>SUM(C120:C121)*C$46</f>
        <v>15263.564568825916</v>
      </c>
      <c r="D125" s="32">
        <f t="shared" ref="D125:I125" si="28">SUM(D120:D121)*D$46</f>
        <v>11938.253252841067</v>
      </c>
      <c r="E125" s="32">
        <f t="shared" si="28"/>
        <v>12001.923936856219</v>
      </c>
      <c r="F125" s="32">
        <f t="shared" si="28"/>
        <v>12065.594620871374</v>
      </c>
      <c r="G125" s="32">
        <f t="shared" si="28"/>
        <v>12129.265304886527</v>
      </c>
      <c r="H125" s="32">
        <f t="shared" si="28"/>
        <v>12192.935988901681</v>
      </c>
      <c r="I125" s="32">
        <f t="shared" si="28"/>
        <v>12256.606672916834</v>
      </c>
      <c r="K125" s="33"/>
      <c r="M125" s="33"/>
    </row>
    <row r="127" spans="1:18">
      <c r="A127" s="30"/>
      <c r="B127" s="84" t="s">
        <v>47</v>
      </c>
      <c r="C127" s="85">
        <f>SUM(C104:C125)</f>
        <v>1494539.4770406098</v>
      </c>
      <c r="D127" s="85">
        <f t="shared" ref="D127:I127" si="29">SUM(D104:D125)</f>
        <v>1471668.8978485491</v>
      </c>
      <c r="E127" s="85">
        <f t="shared" si="29"/>
        <v>1500924.2857216112</v>
      </c>
      <c r="F127" s="85">
        <f t="shared" si="29"/>
        <v>1555858.1272324205</v>
      </c>
      <c r="G127" s="85">
        <f t="shared" si="29"/>
        <v>1585616.1748834362</v>
      </c>
      <c r="H127" s="85">
        <f t="shared" si="29"/>
        <v>1616575.9331158947</v>
      </c>
      <c r="I127" s="85">
        <f t="shared" si="29"/>
        <v>1646079.6271091795</v>
      </c>
    </row>
  </sheetData>
  <sheetProtection password="DF03" sheet="1" objects="1" scenarios="1"/>
  <mergeCells count="38">
    <mergeCell ref="B10:I10"/>
    <mergeCell ref="A66:B66"/>
    <mergeCell ref="A76:B76"/>
    <mergeCell ref="A79:B79"/>
    <mergeCell ref="B80:I80"/>
    <mergeCell ref="A65:B65"/>
    <mergeCell ref="A68:B68"/>
    <mergeCell ref="A31:B31"/>
    <mergeCell ref="A32:B32"/>
    <mergeCell ref="A33:B33"/>
    <mergeCell ref="A34:B34"/>
    <mergeCell ref="A35:B35"/>
    <mergeCell ref="A72:B72"/>
    <mergeCell ref="A74:B74"/>
    <mergeCell ref="B67:I67"/>
    <mergeCell ref="B70:I70"/>
    <mergeCell ref="A36:B36"/>
    <mergeCell ref="A37:B37"/>
    <mergeCell ref="A38:B38"/>
    <mergeCell ref="A64:B64"/>
    <mergeCell ref="B51:I51"/>
    <mergeCell ref="B63:I63"/>
    <mergeCell ref="B71:I71"/>
    <mergeCell ref="A30:B30"/>
    <mergeCell ref="B42:I42"/>
    <mergeCell ref="A69:B69"/>
    <mergeCell ref="B90:I90"/>
    <mergeCell ref="A73:B73"/>
    <mergeCell ref="A78:B78"/>
    <mergeCell ref="A82:B82"/>
    <mergeCell ref="A77:B77"/>
    <mergeCell ref="A83:B83"/>
    <mergeCell ref="B84:I84"/>
    <mergeCell ref="B85:I85"/>
    <mergeCell ref="A86:B86"/>
    <mergeCell ref="A87:B87"/>
    <mergeCell ref="A81:B81"/>
    <mergeCell ref="B75:I75"/>
  </mergeCells>
  <pageMargins left="0.5" right="0.5" top="0.5" bottom="0.5" header="0.3" footer="0.3"/>
  <pageSetup orientation="landscape" horizontalDpi="4294967293" verticalDpi="1200" r:id="rId1"/>
  <headerFooter>
    <oddFooter>&amp;LPPA Staffing Worksheet&amp;CPinellas Preparatory Academy, Inc.&amp;RPage &amp;P or &amp;N</oddFooter>
  </headerFooter>
  <rowBreaks count="2" manualBreakCount="2">
    <brk id="80" max="16383" man="1"/>
    <brk id="1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0"/>
  <sheetViews>
    <sheetView showGridLines="0" view="pageLayout" zoomScale="70" zoomScaleNormal="100" zoomScalePageLayoutView="70" workbookViewId="0"/>
  </sheetViews>
  <sheetFormatPr defaultRowHeight="12.75"/>
  <cols>
    <col min="1" max="1" width="11.140625" style="26" customWidth="1"/>
    <col min="2" max="2" width="22.140625" style="26" customWidth="1"/>
    <col min="3" max="9" width="12.85546875" style="26" customWidth="1"/>
    <col min="10" max="12" width="11.85546875" style="26" bestFit="1" customWidth="1"/>
    <col min="13" max="13" width="11.28515625" style="26" bestFit="1" customWidth="1"/>
    <col min="14" max="14" width="10" style="26" bestFit="1" customWidth="1"/>
    <col min="15" max="15" width="8.7109375" style="26" bestFit="1" customWidth="1"/>
    <col min="16" max="16" width="9.7109375" style="26" bestFit="1" customWidth="1"/>
    <col min="17" max="17" width="8.28515625" style="26" bestFit="1" customWidth="1"/>
    <col min="18" max="18" width="8.7109375" style="26" bestFit="1" customWidth="1"/>
    <col min="19" max="16384" width="9.140625" style="26"/>
  </cols>
  <sheetData>
    <row r="1" spans="1:11" ht="27">
      <c r="A1" s="295" t="s">
        <v>620</v>
      </c>
      <c r="B1" s="295"/>
      <c r="C1" s="295"/>
      <c r="D1" s="295"/>
      <c r="E1" s="295"/>
      <c r="F1" s="295"/>
      <c r="G1" s="295"/>
      <c r="H1" s="295"/>
      <c r="I1" s="295"/>
    </row>
    <row r="2" spans="1:11">
      <c r="B2" s="27" t="s">
        <v>42</v>
      </c>
      <c r="J2" s="28"/>
      <c r="K2" s="29"/>
    </row>
    <row r="3" spans="1:11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J3" s="28"/>
      <c r="K3" s="29"/>
    </row>
    <row r="4" spans="1:11">
      <c r="B4" s="194" t="s">
        <v>468</v>
      </c>
      <c r="C4" s="197">
        <f>Combined!B10</f>
        <v>2481454.04</v>
      </c>
      <c r="D4" s="197">
        <f>Combined!C10</f>
        <v>2466474.1088</v>
      </c>
      <c r="E4" s="197">
        <f>Combined!D10</f>
        <v>2475847.8210960003</v>
      </c>
      <c r="F4" s="197">
        <f>Combined!E10</f>
        <v>2486553.00881832</v>
      </c>
      <c r="G4" s="197">
        <f>Combined!F10</f>
        <v>2498243.7596569546</v>
      </c>
      <c r="H4" s="197">
        <f>Combined!G10</f>
        <v>2511101.2403439395</v>
      </c>
      <c r="I4" s="197">
        <f>Combined!H10</f>
        <v>2525053.1323905606</v>
      </c>
      <c r="J4" s="28"/>
      <c r="K4" s="29"/>
    </row>
    <row r="5" spans="1:11" ht="13.5" thickBot="1">
      <c r="B5" s="195" t="s">
        <v>469</v>
      </c>
      <c r="C5" s="165">
        <f>Combined!B11</f>
        <v>2491374.6587593649</v>
      </c>
      <c r="D5" s="165">
        <f>Combined!C11</f>
        <v>2454934.7158448631</v>
      </c>
      <c r="E5" s="165">
        <f>Combined!D11</f>
        <v>2473483.6744637955</v>
      </c>
      <c r="F5" s="165">
        <f>Combined!E11</f>
        <v>2572276.0881462907</v>
      </c>
      <c r="G5" s="165">
        <f>Combined!F11</f>
        <v>2577950.2565252045</v>
      </c>
      <c r="H5" s="165">
        <f>Combined!G11</f>
        <v>2564082.7580324328</v>
      </c>
      <c r="I5" s="165">
        <f>Combined!H11</f>
        <v>2601360.873841804</v>
      </c>
      <c r="J5" s="28"/>
      <c r="K5" s="29"/>
    </row>
    <row r="6" spans="1:11" ht="13.5" thickBot="1">
      <c r="B6" s="166" t="s">
        <v>470</v>
      </c>
      <c r="C6" s="167">
        <f>Combined!B12</f>
        <v>-9920.618759364821</v>
      </c>
      <c r="D6" s="167">
        <f>Combined!C12</f>
        <v>11539.392955136951</v>
      </c>
      <c r="E6" s="167">
        <f>Combined!D12</f>
        <v>2364.1466322047636</v>
      </c>
      <c r="F6" s="167">
        <f>Combined!E12</f>
        <v>-85723.079327970743</v>
      </c>
      <c r="G6" s="167">
        <f>Combined!F12</f>
        <v>-79706.49686824996</v>
      </c>
      <c r="H6" s="167">
        <f>Combined!G12</f>
        <v>-52981.517688493244</v>
      </c>
      <c r="I6" s="167">
        <f>Combined!H12</f>
        <v>-76307.741451243404</v>
      </c>
      <c r="J6" s="28"/>
      <c r="K6" s="29"/>
    </row>
    <row r="7" spans="1:11" ht="13.5" thickTop="1">
      <c r="B7" s="168" t="s">
        <v>471</v>
      </c>
      <c r="C7" s="169">
        <f>Combined!B28</f>
        <v>635.36344863520935</v>
      </c>
      <c r="D7" s="169">
        <f>Combined!C28</f>
        <v>4088.3836645120755</v>
      </c>
      <c r="E7" s="169">
        <f>Combined!D28</f>
        <v>159558.14362255018</v>
      </c>
      <c r="F7" s="169">
        <f>Combined!E28</f>
        <v>58755.307399456389</v>
      </c>
      <c r="G7" s="169">
        <f>Combined!F28</f>
        <v>71968.6691986816</v>
      </c>
      <c r="H7" s="169">
        <f>Combined!G28</f>
        <v>132388.22050115</v>
      </c>
      <c r="I7" s="169">
        <f>Combined!H28</f>
        <v>63737.509453523904</v>
      </c>
      <c r="J7" s="28"/>
      <c r="K7" s="29"/>
    </row>
    <row r="9" spans="1:11" ht="23.25" thickBot="1">
      <c r="A9" s="34" t="s">
        <v>70</v>
      </c>
      <c r="B9" s="35"/>
      <c r="C9" s="35"/>
      <c r="D9" s="35"/>
      <c r="E9" s="35"/>
      <c r="F9" s="35"/>
      <c r="G9" s="35"/>
      <c r="H9" s="35"/>
      <c r="I9" s="35"/>
    </row>
    <row r="10" spans="1:11">
      <c r="B10" s="402" t="s">
        <v>283</v>
      </c>
      <c r="C10" s="401"/>
      <c r="D10" s="401"/>
      <c r="E10" s="401"/>
      <c r="F10" s="401"/>
      <c r="G10" s="401"/>
      <c r="H10" s="401"/>
      <c r="I10" s="401"/>
    </row>
    <row r="11" spans="1:11">
      <c r="B11" s="193" t="s">
        <v>45</v>
      </c>
      <c r="C11" s="192" t="s">
        <v>22</v>
      </c>
      <c r="D11" s="192" t="s">
        <v>98</v>
      </c>
      <c r="E11" s="192" t="s">
        <v>99</v>
      </c>
      <c r="F11" s="192" t="s">
        <v>100</v>
      </c>
      <c r="G11" s="192" t="s">
        <v>101</v>
      </c>
      <c r="H11" s="192" t="s">
        <v>102</v>
      </c>
      <c r="I11" s="192" t="s">
        <v>103</v>
      </c>
    </row>
    <row r="12" spans="1:11">
      <c r="B12" s="194" t="s">
        <v>284</v>
      </c>
      <c r="C12" s="238">
        <v>6</v>
      </c>
      <c r="D12" s="238">
        <v>6.25</v>
      </c>
      <c r="E12" s="238">
        <v>6.5</v>
      </c>
      <c r="F12" s="238">
        <v>6.75</v>
      </c>
      <c r="G12" s="238">
        <v>7</v>
      </c>
      <c r="H12" s="238">
        <v>7.25</v>
      </c>
      <c r="I12" s="238">
        <v>7.5</v>
      </c>
    </row>
    <row r="13" spans="1:11">
      <c r="B13" s="131" t="s">
        <v>285</v>
      </c>
      <c r="C13" s="62">
        <v>70</v>
      </c>
      <c r="D13" s="62">
        <v>71</v>
      </c>
      <c r="E13" s="62">
        <v>72</v>
      </c>
      <c r="F13" s="62">
        <v>73</v>
      </c>
      <c r="G13" s="62">
        <v>74</v>
      </c>
      <c r="H13" s="62">
        <v>75</v>
      </c>
      <c r="I13" s="62">
        <v>76</v>
      </c>
    </row>
    <row r="14" spans="1:11">
      <c r="B14" s="42" t="s">
        <v>286</v>
      </c>
      <c r="C14" s="132">
        <f>9*4*C12*C13</f>
        <v>15120</v>
      </c>
      <c r="D14" s="132">
        <f t="shared" ref="D14:I14" si="0">9*4*D12*D13</f>
        <v>15975</v>
      </c>
      <c r="E14" s="132">
        <f t="shared" si="0"/>
        <v>16848</v>
      </c>
      <c r="F14" s="132">
        <f t="shared" si="0"/>
        <v>17739</v>
      </c>
      <c r="G14" s="132">
        <f t="shared" si="0"/>
        <v>18648</v>
      </c>
      <c r="H14" s="132">
        <f t="shared" si="0"/>
        <v>19575</v>
      </c>
      <c r="I14" s="132">
        <f t="shared" si="0"/>
        <v>20520</v>
      </c>
    </row>
    <row r="15" spans="1:11">
      <c r="C15" s="42"/>
    </row>
    <row r="16" spans="1:11">
      <c r="B16" s="402" t="s">
        <v>287</v>
      </c>
      <c r="C16" s="401"/>
      <c r="D16" s="401"/>
      <c r="E16" s="401"/>
      <c r="F16" s="401"/>
      <c r="G16" s="401"/>
      <c r="H16" s="401"/>
      <c r="I16" s="401"/>
    </row>
    <row r="17" spans="2:9">
      <c r="B17" s="193" t="s">
        <v>45</v>
      </c>
      <c r="C17" s="192" t="s">
        <v>22</v>
      </c>
      <c r="D17" s="192" t="s">
        <v>98</v>
      </c>
      <c r="E17" s="192" t="s">
        <v>99</v>
      </c>
      <c r="F17" s="192" t="s">
        <v>100</v>
      </c>
      <c r="G17" s="192" t="s">
        <v>101</v>
      </c>
      <c r="H17" s="192" t="s">
        <v>102</v>
      </c>
      <c r="I17" s="192" t="s">
        <v>103</v>
      </c>
    </row>
    <row r="18" spans="2:9">
      <c r="B18" s="194" t="s">
        <v>284</v>
      </c>
      <c r="C18" s="62">
        <v>6000</v>
      </c>
      <c r="D18" s="62">
        <v>6250</v>
      </c>
      <c r="E18" s="62">
        <v>6500</v>
      </c>
      <c r="F18" s="62">
        <v>6750</v>
      </c>
      <c r="G18" s="62">
        <v>7000</v>
      </c>
      <c r="H18" s="62">
        <v>7250</v>
      </c>
      <c r="I18" s="62">
        <v>7500</v>
      </c>
    </row>
    <row r="20" spans="2:9">
      <c r="B20" s="402" t="s">
        <v>288</v>
      </c>
      <c r="C20" s="401"/>
      <c r="D20" s="401"/>
      <c r="E20" s="401"/>
      <c r="F20" s="401"/>
      <c r="G20" s="401"/>
      <c r="H20" s="401"/>
      <c r="I20" s="401"/>
    </row>
    <row r="21" spans="2:9">
      <c r="B21" s="193" t="s">
        <v>45</v>
      </c>
      <c r="C21" s="192" t="s">
        <v>22</v>
      </c>
      <c r="D21" s="192" t="s">
        <v>98</v>
      </c>
      <c r="E21" s="192" t="s">
        <v>99</v>
      </c>
      <c r="F21" s="192" t="s">
        <v>100</v>
      </c>
      <c r="G21" s="192" t="s">
        <v>101</v>
      </c>
      <c r="H21" s="192" t="s">
        <v>102</v>
      </c>
      <c r="I21" s="192" t="s">
        <v>103</v>
      </c>
    </row>
    <row r="22" spans="2:9">
      <c r="B22" s="194" t="s">
        <v>289</v>
      </c>
      <c r="C22" s="62">
        <v>8100</v>
      </c>
      <c r="D22" s="62">
        <v>8700</v>
      </c>
      <c r="E22" s="62">
        <v>9200</v>
      </c>
      <c r="F22" s="62">
        <v>9700</v>
      </c>
      <c r="G22" s="62">
        <v>10200</v>
      </c>
      <c r="H22" s="62">
        <v>10700</v>
      </c>
      <c r="I22" s="62">
        <v>11200</v>
      </c>
    </row>
    <row r="23" spans="2:9">
      <c r="B23" s="194" t="s">
        <v>290</v>
      </c>
      <c r="C23" s="62">
        <v>250</v>
      </c>
      <c r="D23" s="62">
        <v>260</v>
      </c>
      <c r="E23" s="62">
        <v>270</v>
      </c>
      <c r="F23" s="62">
        <v>280</v>
      </c>
      <c r="G23" s="62">
        <v>290</v>
      </c>
      <c r="H23" s="62">
        <v>300</v>
      </c>
      <c r="I23" s="62">
        <v>310</v>
      </c>
    </row>
    <row r="24" spans="2:9">
      <c r="B24" s="42" t="s">
        <v>286</v>
      </c>
      <c r="C24" s="132">
        <f>(12*C23)+C22</f>
        <v>11100</v>
      </c>
      <c r="D24" s="132">
        <f t="shared" ref="D24:I24" si="1">(12*D23)+D22</f>
        <v>11820</v>
      </c>
      <c r="E24" s="132">
        <f t="shared" si="1"/>
        <v>12440</v>
      </c>
      <c r="F24" s="132">
        <f t="shared" si="1"/>
        <v>13060</v>
      </c>
      <c r="G24" s="132">
        <f t="shared" si="1"/>
        <v>13680</v>
      </c>
      <c r="H24" s="132">
        <f t="shared" si="1"/>
        <v>14300</v>
      </c>
      <c r="I24" s="132">
        <f t="shared" si="1"/>
        <v>14920</v>
      </c>
    </row>
    <row r="26" spans="2:9">
      <c r="B26" s="402" t="s">
        <v>291</v>
      </c>
      <c r="C26" s="401"/>
      <c r="D26" s="401"/>
      <c r="E26" s="401"/>
      <c r="F26" s="401"/>
      <c r="G26" s="401"/>
      <c r="H26" s="401"/>
      <c r="I26" s="401"/>
    </row>
    <row r="27" spans="2:9">
      <c r="B27" s="193" t="s">
        <v>45</v>
      </c>
      <c r="C27" s="192" t="s">
        <v>22</v>
      </c>
      <c r="D27" s="192" t="s">
        <v>98</v>
      </c>
      <c r="E27" s="192" t="s">
        <v>99</v>
      </c>
      <c r="F27" s="192" t="s">
        <v>100</v>
      </c>
      <c r="G27" s="192" t="s">
        <v>101</v>
      </c>
      <c r="H27" s="192" t="s">
        <v>102</v>
      </c>
      <c r="I27" s="192" t="s">
        <v>103</v>
      </c>
    </row>
    <row r="28" spans="2:9">
      <c r="B28" s="194" t="s">
        <v>292</v>
      </c>
      <c r="C28" s="62">
        <v>6500</v>
      </c>
      <c r="D28" s="62">
        <f t="shared" ref="D28:I28" si="2">C28+(0.02*C28)</f>
        <v>6630</v>
      </c>
      <c r="E28" s="62">
        <f t="shared" si="2"/>
        <v>6762.6</v>
      </c>
      <c r="F28" s="62">
        <f t="shared" si="2"/>
        <v>6897.8520000000008</v>
      </c>
      <c r="G28" s="62">
        <f t="shared" si="2"/>
        <v>7035.809040000001</v>
      </c>
      <c r="H28" s="62">
        <f t="shared" si="2"/>
        <v>7176.5252208000011</v>
      </c>
      <c r="I28" s="62">
        <f t="shared" si="2"/>
        <v>7320.0557252160015</v>
      </c>
    </row>
    <row r="29" spans="2:9">
      <c r="B29" s="194" t="s">
        <v>293</v>
      </c>
      <c r="C29" s="62">
        <v>2200</v>
      </c>
      <c r="D29" s="62">
        <f t="shared" ref="D29:I32" si="3">C29+(0.02*C29)</f>
        <v>2244</v>
      </c>
      <c r="E29" s="62">
        <f t="shared" si="3"/>
        <v>2288.88</v>
      </c>
      <c r="F29" s="62">
        <f t="shared" si="3"/>
        <v>2334.6576</v>
      </c>
      <c r="G29" s="62">
        <f t="shared" si="3"/>
        <v>2381.3507519999998</v>
      </c>
      <c r="H29" s="62">
        <f t="shared" si="3"/>
        <v>2428.9777670399999</v>
      </c>
      <c r="I29" s="62">
        <f t="shared" si="3"/>
        <v>2477.5573223808001</v>
      </c>
    </row>
    <row r="30" spans="2:9">
      <c r="B30" s="194" t="s">
        <v>294</v>
      </c>
      <c r="C30" s="62">
        <v>2750</v>
      </c>
      <c r="D30" s="62">
        <f t="shared" si="3"/>
        <v>2805</v>
      </c>
      <c r="E30" s="62">
        <f t="shared" si="3"/>
        <v>2861.1</v>
      </c>
      <c r="F30" s="62">
        <f t="shared" si="3"/>
        <v>2918.3220000000001</v>
      </c>
      <c r="G30" s="62">
        <f t="shared" si="3"/>
        <v>2976.6884399999999</v>
      </c>
      <c r="H30" s="62">
        <f t="shared" si="3"/>
        <v>3036.2222087999999</v>
      </c>
      <c r="I30" s="62">
        <f t="shared" si="3"/>
        <v>3096.9466529759998</v>
      </c>
    </row>
    <row r="31" spans="2:9">
      <c r="B31" s="194" t="s">
        <v>71</v>
      </c>
      <c r="C31" s="62">
        <v>5250</v>
      </c>
      <c r="D31" s="62">
        <f t="shared" si="3"/>
        <v>5355</v>
      </c>
      <c r="E31" s="62">
        <f t="shared" si="3"/>
        <v>5462.1</v>
      </c>
      <c r="F31" s="62">
        <f t="shared" si="3"/>
        <v>5571.3420000000006</v>
      </c>
      <c r="G31" s="62">
        <f t="shared" si="3"/>
        <v>5682.7688400000006</v>
      </c>
      <c r="H31" s="62">
        <f t="shared" si="3"/>
        <v>5796.424216800001</v>
      </c>
      <c r="I31" s="62">
        <f t="shared" si="3"/>
        <v>5912.3527011360011</v>
      </c>
    </row>
    <row r="32" spans="2:9">
      <c r="B32" s="194" t="s">
        <v>72</v>
      </c>
      <c r="C32" s="62">
        <v>1000</v>
      </c>
      <c r="D32" s="62">
        <f t="shared" si="3"/>
        <v>1020</v>
      </c>
      <c r="E32" s="62">
        <f t="shared" si="3"/>
        <v>1040.4000000000001</v>
      </c>
      <c r="F32" s="62">
        <f t="shared" si="3"/>
        <v>1061.2080000000001</v>
      </c>
      <c r="G32" s="62">
        <f t="shared" si="3"/>
        <v>1082.4321600000001</v>
      </c>
      <c r="H32" s="62">
        <f t="shared" si="3"/>
        <v>1104.0808032</v>
      </c>
      <c r="I32" s="62">
        <f t="shared" si="3"/>
        <v>1126.1624192639999</v>
      </c>
    </row>
    <row r="33" spans="1:12">
      <c r="B33" s="42" t="s">
        <v>286</v>
      </c>
      <c r="C33" s="132">
        <f>SUM(C28:C32)</f>
        <v>17700</v>
      </c>
      <c r="D33" s="132">
        <f t="shared" ref="D33:I33" si="4">SUM(D28:D32)</f>
        <v>18054</v>
      </c>
      <c r="E33" s="132">
        <f t="shared" si="4"/>
        <v>18415.080000000002</v>
      </c>
      <c r="F33" s="132">
        <f t="shared" si="4"/>
        <v>18783.381600000001</v>
      </c>
      <c r="G33" s="132">
        <f t="shared" si="4"/>
        <v>19159.049232000001</v>
      </c>
      <c r="H33" s="132">
        <f t="shared" si="4"/>
        <v>19542.23021664</v>
      </c>
      <c r="I33" s="132">
        <f t="shared" si="4"/>
        <v>19933.074820972804</v>
      </c>
    </row>
    <row r="34" spans="1:12">
      <c r="B34" s="42" t="s">
        <v>295</v>
      </c>
      <c r="C34" s="132"/>
      <c r="D34" s="133">
        <f t="shared" ref="D34:I34" si="5">(D33-C33)/C33</f>
        <v>0.02</v>
      </c>
      <c r="E34" s="133">
        <f t="shared" si="5"/>
        <v>2.0000000000000098E-2</v>
      </c>
      <c r="F34" s="133">
        <f t="shared" si="5"/>
        <v>1.9999999999999938E-2</v>
      </c>
      <c r="G34" s="133">
        <f t="shared" si="5"/>
        <v>2.0000000000000032E-2</v>
      </c>
      <c r="H34" s="133">
        <f t="shared" si="5"/>
        <v>1.9999999999999959E-2</v>
      </c>
      <c r="I34" s="133">
        <f t="shared" si="5"/>
        <v>2.0000000000000205E-2</v>
      </c>
    </row>
    <row r="37" spans="1:12" ht="23.25" thickBot="1">
      <c r="A37" s="34" t="s">
        <v>86</v>
      </c>
      <c r="B37" s="35"/>
      <c r="C37" s="35"/>
      <c r="D37" s="35"/>
      <c r="E37" s="35"/>
      <c r="F37" s="35"/>
      <c r="G37" s="35"/>
      <c r="H37" s="35"/>
      <c r="I37" s="35"/>
    </row>
    <row r="38" spans="1:12">
      <c r="B38" s="402" t="s">
        <v>297</v>
      </c>
      <c r="C38" s="401"/>
      <c r="D38" s="401"/>
      <c r="E38" s="401"/>
      <c r="F38" s="401"/>
      <c r="G38" s="401"/>
      <c r="H38" s="401"/>
      <c r="I38" s="401"/>
    </row>
    <row r="39" spans="1:12">
      <c r="B39" s="193" t="s">
        <v>45</v>
      </c>
      <c r="C39" s="192" t="s">
        <v>22</v>
      </c>
      <c r="D39" s="192" t="s">
        <v>98</v>
      </c>
      <c r="E39" s="192" t="s">
        <v>99</v>
      </c>
      <c r="F39" s="192" t="s">
        <v>100</v>
      </c>
      <c r="G39" s="192" t="s">
        <v>101</v>
      </c>
      <c r="H39" s="192" t="s">
        <v>102</v>
      </c>
      <c r="I39" s="192" t="s">
        <v>103</v>
      </c>
    </row>
    <row r="40" spans="1:12">
      <c r="B40" s="194" t="s">
        <v>235</v>
      </c>
      <c r="C40" s="62">
        <v>6</v>
      </c>
      <c r="D40" s="62">
        <f t="shared" ref="D40:I40" si="6">C40+(0.02*C40)</f>
        <v>6.12</v>
      </c>
      <c r="E40" s="62">
        <f t="shared" si="6"/>
        <v>6.2423999999999999</v>
      </c>
      <c r="F40" s="62">
        <f t="shared" si="6"/>
        <v>6.367248</v>
      </c>
      <c r="G40" s="62">
        <f t="shared" si="6"/>
        <v>6.4945929600000003</v>
      </c>
      <c r="H40" s="62">
        <f t="shared" si="6"/>
        <v>6.6244848192000001</v>
      </c>
      <c r="I40" s="62">
        <f t="shared" si="6"/>
        <v>6.756974515584</v>
      </c>
    </row>
    <row r="41" spans="1:12">
      <c r="B41" s="194" t="s">
        <v>236</v>
      </c>
      <c r="C41" s="62">
        <v>1</v>
      </c>
      <c r="D41" s="62">
        <f t="shared" ref="D41:I41" si="7">C41+(0.02*C41)</f>
        <v>1.02</v>
      </c>
      <c r="E41" s="62">
        <f t="shared" si="7"/>
        <v>1.0404</v>
      </c>
      <c r="F41" s="62">
        <f t="shared" si="7"/>
        <v>1.0612079999999999</v>
      </c>
      <c r="G41" s="62">
        <f t="shared" si="7"/>
        <v>1.08243216</v>
      </c>
      <c r="H41" s="62">
        <f t="shared" si="7"/>
        <v>1.1040808032</v>
      </c>
      <c r="I41" s="62">
        <f t="shared" si="7"/>
        <v>1.1261624192640001</v>
      </c>
    </row>
    <row r="42" spans="1:12">
      <c r="B42" s="194" t="s">
        <v>219</v>
      </c>
      <c r="C42" s="62">
        <v>0</v>
      </c>
      <c r="D42" s="62">
        <v>2</v>
      </c>
      <c r="E42" s="62">
        <f>D42+(0.02*D42)</f>
        <v>2.04</v>
      </c>
      <c r="F42" s="62">
        <f>E42+(0.02*E42)</f>
        <v>2.0808</v>
      </c>
      <c r="G42" s="62">
        <f>F42+(0.02*F42)</f>
        <v>2.1224159999999999</v>
      </c>
      <c r="H42" s="62">
        <f>G42+(0.02*G42)</f>
        <v>2.16486432</v>
      </c>
      <c r="I42" s="62">
        <f>H42+(0.02*H42)</f>
        <v>2.2081616064</v>
      </c>
    </row>
    <row r="43" spans="1:12">
      <c r="B43" s="194" t="s">
        <v>296</v>
      </c>
      <c r="C43" s="62">
        <v>1</v>
      </c>
      <c r="D43" s="62">
        <f t="shared" ref="D43:I43" si="8">C43+(0.02*C43)</f>
        <v>1.02</v>
      </c>
      <c r="E43" s="62">
        <f t="shared" si="8"/>
        <v>1.0404</v>
      </c>
      <c r="F43" s="62">
        <f t="shared" si="8"/>
        <v>1.0612079999999999</v>
      </c>
      <c r="G43" s="62">
        <f t="shared" si="8"/>
        <v>1.08243216</v>
      </c>
      <c r="H43" s="62">
        <f t="shared" si="8"/>
        <v>1.1040808032</v>
      </c>
      <c r="I43" s="62">
        <f t="shared" si="8"/>
        <v>1.1261624192640001</v>
      </c>
    </row>
    <row r="44" spans="1:12">
      <c r="B44" s="42" t="s">
        <v>286</v>
      </c>
      <c r="C44" s="132">
        <f>'PPA-Staff'!C27*(C40+C41+C42+C43)</f>
        <v>3120</v>
      </c>
      <c r="D44" s="132">
        <f>'PPA-Staff'!D27*(D40+D41+D42+D43)</f>
        <v>3962.4</v>
      </c>
      <c r="E44" s="132">
        <f>'PPA-Staff'!E27*(E40+E41+E42+E43)</f>
        <v>4041.6480000000001</v>
      </c>
      <c r="F44" s="132">
        <f>'PPA-Staff'!F27*(F40+F41+F42+F43)</f>
        <v>4122.4809600000008</v>
      </c>
      <c r="G44" s="132">
        <f>'PPA-Staff'!G27*(G40+G41+G42+G43)</f>
        <v>4204.9305791999996</v>
      </c>
      <c r="H44" s="132">
        <f>'PPA-Staff'!H27*(H40+H41+H42+H43)</f>
        <v>4289.0291907840001</v>
      </c>
      <c r="I44" s="132">
        <f>'PPA-Staff'!I27*(I40+I41+I42+I43)</f>
        <v>4374.8097745996802</v>
      </c>
    </row>
    <row r="45" spans="1:12" ht="15">
      <c r="B45" s="48"/>
      <c r="C45" s="48"/>
      <c r="D45" s="47"/>
      <c r="E45" s="38"/>
      <c r="F45" s="38"/>
      <c r="G45" s="38"/>
      <c r="H45" s="38"/>
      <c r="I45" s="38"/>
      <c r="J45" s="50"/>
      <c r="K45" s="50"/>
      <c r="L45" s="50"/>
    </row>
    <row r="46" spans="1:12" ht="23.25" thickBot="1">
      <c r="A46" s="34" t="s">
        <v>87</v>
      </c>
      <c r="B46" s="35"/>
      <c r="C46" s="35"/>
      <c r="D46" s="35"/>
      <c r="E46" s="35"/>
      <c r="F46" s="35"/>
      <c r="G46" s="35"/>
      <c r="H46" s="35"/>
      <c r="I46" s="35"/>
    </row>
    <row r="47" spans="1:12">
      <c r="B47" s="26" t="s">
        <v>298</v>
      </c>
      <c r="C47" s="46"/>
      <c r="D47" s="46"/>
      <c r="E47" s="46"/>
      <c r="F47" s="46"/>
      <c r="G47" s="46"/>
      <c r="H47" s="46"/>
      <c r="I47" s="46"/>
      <c r="J47" s="46"/>
    </row>
    <row r="48" spans="1:12">
      <c r="B48" s="193" t="s">
        <v>45</v>
      </c>
      <c r="C48" s="192" t="s">
        <v>22</v>
      </c>
      <c r="D48" s="192" t="s">
        <v>98</v>
      </c>
      <c r="E48" s="192" t="s">
        <v>99</v>
      </c>
      <c r="F48" s="192" t="s">
        <v>100</v>
      </c>
      <c r="G48" s="192" t="s">
        <v>101</v>
      </c>
      <c r="H48" s="192" t="s">
        <v>102</v>
      </c>
      <c r="I48" s="192" t="s">
        <v>103</v>
      </c>
      <c r="J48" s="46"/>
      <c r="K48" s="46"/>
    </row>
    <row r="49" spans="2:11">
      <c r="B49" s="193" t="s">
        <v>299</v>
      </c>
      <c r="C49" s="192" t="s">
        <v>300</v>
      </c>
      <c r="D49" s="192" t="s">
        <v>301</v>
      </c>
      <c r="E49" s="192" t="s">
        <v>302</v>
      </c>
      <c r="F49" s="192" t="s">
        <v>303</v>
      </c>
      <c r="G49" s="192" t="s">
        <v>304</v>
      </c>
      <c r="H49" s="192" t="s">
        <v>300</v>
      </c>
      <c r="I49" s="192" t="s">
        <v>301</v>
      </c>
      <c r="J49" s="46"/>
      <c r="K49" s="46"/>
    </row>
    <row r="50" spans="2:11">
      <c r="B50" s="194" t="s">
        <v>88</v>
      </c>
      <c r="C50" s="83">
        <v>260</v>
      </c>
      <c r="D50" s="83">
        <v>450</v>
      </c>
      <c r="E50" s="83">
        <v>450</v>
      </c>
      <c r="F50" s="83">
        <v>450</v>
      </c>
      <c r="G50" s="83">
        <v>450</v>
      </c>
      <c r="H50" s="83">
        <v>450</v>
      </c>
      <c r="I50" s="83">
        <v>450</v>
      </c>
      <c r="J50" s="46"/>
      <c r="K50" s="46"/>
    </row>
    <row r="51" spans="2:11">
      <c r="B51" s="194" t="s">
        <v>305</v>
      </c>
      <c r="C51" s="62">
        <v>75</v>
      </c>
      <c r="D51" s="62">
        <f t="shared" ref="D51:I53" si="9">C51+(0.02*C51)</f>
        <v>76.5</v>
      </c>
      <c r="E51" s="62">
        <f t="shared" si="9"/>
        <v>78.03</v>
      </c>
      <c r="F51" s="62">
        <f t="shared" si="9"/>
        <v>79.590599999999995</v>
      </c>
      <c r="G51" s="62">
        <f t="shared" si="9"/>
        <v>81.182411999999999</v>
      </c>
      <c r="H51" s="62">
        <f t="shared" si="9"/>
        <v>82.806060239999994</v>
      </c>
      <c r="I51" s="62">
        <f t="shared" si="9"/>
        <v>84.462181444799995</v>
      </c>
      <c r="J51" s="46"/>
      <c r="K51" s="46"/>
    </row>
    <row r="52" spans="2:11">
      <c r="B52" s="194" t="s">
        <v>306</v>
      </c>
      <c r="C52" s="62">
        <v>1500</v>
      </c>
      <c r="D52" s="62">
        <f t="shared" si="9"/>
        <v>1530</v>
      </c>
      <c r="E52" s="62">
        <f t="shared" si="9"/>
        <v>1560.6</v>
      </c>
      <c r="F52" s="62">
        <f t="shared" si="9"/>
        <v>1591.8119999999999</v>
      </c>
      <c r="G52" s="62">
        <f t="shared" si="9"/>
        <v>1623.64824</v>
      </c>
      <c r="H52" s="62">
        <f t="shared" si="9"/>
        <v>1656.1212048</v>
      </c>
      <c r="I52" s="62">
        <f t="shared" si="9"/>
        <v>1689.243628896</v>
      </c>
      <c r="J52" s="46"/>
      <c r="K52" s="46"/>
    </row>
    <row r="53" spans="2:11">
      <c r="B53" s="194" t="s">
        <v>307</v>
      </c>
      <c r="C53" s="62">
        <v>3000</v>
      </c>
      <c r="D53" s="62">
        <f t="shared" si="9"/>
        <v>3060</v>
      </c>
      <c r="E53" s="62">
        <f t="shared" si="9"/>
        <v>3121.2</v>
      </c>
      <c r="F53" s="62">
        <f t="shared" si="9"/>
        <v>3183.6239999999998</v>
      </c>
      <c r="G53" s="62">
        <f t="shared" si="9"/>
        <v>3247.29648</v>
      </c>
      <c r="H53" s="62">
        <f t="shared" si="9"/>
        <v>3312.2424096</v>
      </c>
      <c r="I53" s="62">
        <f t="shared" si="9"/>
        <v>3378.487257792</v>
      </c>
      <c r="J53" s="46"/>
      <c r="K53" s="46"/>
    </row>
    <row r="54" spans="2:11">
      <c r="B54" s="42" t="s">
        <v>286</v>
      </c>
      <c r="C54" s="132">
        <f>(C50*C51)+C52+C53</f>
        <v>24000</v>
      </c>
      <c r="D54" s="132">
        <f t="shared" ref="D54:I54" si="10">(D50*D51)+D52+D53</f>
        <v>39015</v>
      </c>
      <c r="E54" s="132">
        <f t="shared" si="10"/>
        <v>39795.299999999996</v>
      </c>
      <c r="F54" s="132">
        <f t="shared" si="10"/>
        <v>40591.205999999991</v>
      </c>
      <c r="G54" s="132">
        <f t="shared" si="10"/>
        <v>41403.030119999996</v>
      </c>
      <c r="H54" s="132">
        <f t="shared" si="10"/>
        <v>42231.090722400004</v>
      </c>
      <c r="I54" s="132">
        <f t="shared" si="10"/>
        <v>43075.712536848005</v>
      </c>
      <c r="J54" s="46"/>
      <c r="K54" s="46"/>
    </row>
    <row r="55" spans="2:11"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2:11">
      <c r="B56" s="46" t="s">
        <v>308</v>
      </c>
      <c r="C56" s="46"/>
      <c r="D56" s="46"/>
      <c r="E56" s="46"/>
      <c r="F56" s="46"/>
      <c r="G56" s="46"/>
      <c r="H56" s="46"/>
      <c r="I56" s="46"/>
      <c r="J56" s="46"/>
      <c r="K56" s="46"/>
    </row>
    <row r="57" spans="2:11">
      <c r="B57" s="193" t="s">
        <v>45</v>
      </c>
      <c r="C57" s="192" t="s">
        <v>22</v>
      </c>
      <c r="D57" s="192" t="s">
        <v>98</v>
      </c>
      <c r="E57" s="192" t="s">
        <v>99</v>
      </c>
      <c r="F57" s="192" t="s">
        <v>100</v>
      </c>
      <c r="G57" s="192" t="s">
        <v>101</v>
      </c>
      <c r="H57" s="192" t="s">
        <v>102</v>
      </c>
      <c r="I57" s="192" t="s">
        <v>103</v>
      </c>
      <c r="J57" s="46"/>
      <c r="K57" s="46"/>
    </row>
    <row r="58" spans="2:11">
      <c r="B58" s="194" t="s">
        <v>309</v>
      </c>
      <c r="C58" s="62">
        <f>(699*12)+550</f>
        <v>8938</v>
      </c>
      <c r="D58" s="62">
        <f>(699*12)+550</f>
        <v>8938</v>
      </c>
      <c r="E58" s="62">
        <f>(699*12)+550</f>
        <v>8938</v>
      </c>
      <c r="F58" s="62">
        <f>(850*12)+700</f>
        <v>10900</v>
      </c>
      <c r="G58" s="62">
        <f>(850*12)+700</f>
        <v>10900</v>
      </c>
      <c r="H58" s="62">
        <f>(850*12)+700</f>
        <v>10900</v>
      </c>
      <c r="I58" s="62">
        <f>(850*12)+700</f>
        <v>10900</v>
      </c>
      <c r="J58" s="46"/>
      <c r="K58" s="46"/>
    </row>
    <row r="59" spans="2:11" ht="15">
      <c r="B59" s="194" t="s">
        <v>311</v>
      </c>
      <c r="C59" s="52">
        <v>6000</v>
      </c>
      <c r="D59" s="52">
        <v>6000</v>
      </c>
      <c r="E59" s="52">
        <v>6000</v>
      </c>
      <c r="F59" s="52">
        <v>6000</v>
      </c>
      <c r="G59" s="52">
        <v>6000</v>
      </c>
      <c r="H59" s="52">
        <v>6000</v>
      </c>
      <c r="I59" s="52">
        <v>6000</v>
      </c>
      <c r="J59" s="46"/>
      <c r="K59" s="46"/>
    </row>
    <row r="60" spans="2:11">
      <c r="B60" s="194" t="s">
        <v>310</v>
      </c>
      <c r="C60" s="237">
        <v>8.9999999999999993E-3</v>
      </c>
      <c r="D60" s="237">
        <v>8.9999999999999993E-3</v>
      </c>
      <c r="E60" s="237">
        <v>8.9999999999999993E-3</v>
      </c>
      <c r="F60" s="237">
        <v>8.9999999999999993E-3</v>
      </c>
      <c r="G60" s="237">
        <v>8.9999999999999993E-3</v>
      </c>
      <c r="H60" s="237">
        <v>8.9999999999999993E-3</v>
      </c>
      <c r="I60" s="237">
        <v>8.9999999999999993E-3</v>
      </c>
      <c r="J60" s="46"/>
      <c r="K60" s="46"/>
    </row>
    <row r="61" spans="2:11">
      <c r="B61" s="42" t="s">
        <v>286</v>
      </c>
      <c r="C61" s="132">
        <f>C58+(C59*12*C60)</f>
        <v>9586</v>
      </c>
      <c r="D61" s="132">
        <f t="shared" ref="D61:I61" si="11">D58+(D59*12*D60)</f>
        <v>9586</v>
      </c>
      <c r="E61" s="132">
        <f t="shared" si="11"/>
        <v>9586</v>
      </c>
      <c r="F61" s="132">
        <f t="shared" si="11"/>
        <v>11548</v>
      </c>
      <c r="G61" s="132">
        <f t="shared" si="11"/>
        <v>11548</v>
      </c>
      <c r="H61" s="132">
        <f t="shared" si="11"/>
        <v>11548</v>
      </c>
      <c r="I61" s="132">
        <f t="shared" si="11"/>
        <v>11548</v>
      </c>
      <c r="J61" s="46"/>
      <c r="K61" s="46"/>
    </row>
    <row r="62" spans="2:11"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2:11">
      <c r="B63" s="46" t="s">
        <v>312</v>
      </c>
      <c r="C63" s="46"/>
      <c r="D63" s="46"/>
      <c r="E63" s="46"/>
      <c r="F63" s="46"/>
      <c r="G63" s="46"/>
      <c r="H63" s="46"/>
      <c r="I63" s="46"/>
      <c r="J63" s="46"/>
      <c r="K63" s="46"/>
    </row>
    <row r="64" spans="2:11">
      <c r="B64" s="193" t="s">
        <v>45</v>
      </c>
      <c r="C64" s="192" t="s">
        <v>22</v>
      </c>
      <c r="D64" s="192" t="s">
        <v>98</v>
      </c>
      <c r="E64" s="192" t="s">
        <v>99</v>
      </c>
      <c r="F64" s="192" t="s">
        <v>100</v>
      </c>
      <c r="G64" s="192" t="s">
        <v>101</v>
      </c>
      <c r="H64" s="192" t="s">
        <v>102</v>
      </c>
      <c r="I64" s="192" t="s">
        <v>103</v>
      </c>
      <c r="J64" s="46"/>
      <c r="K64" s="46"/>
    </row>
    <row r="65" spans="2:11">
      <c r="B65" s="194" t="s">
        <v>313</v>
      </c>
      <c r="C65" s="62">
        <v>40</v>
      </c>
      <c r="D65" s="62">
        <f t="shared" ref="D65:I65" si="12">(0.005*C65)+C65</f>
        <v>40.200000000000003</v>
      </c>
      <c r="E65" s="62">
        <f t="shared" si="12"/>
        <v>40.401000000000003</v>
      </c>
      <c r="F65" s="62">
        <f t="shared" si="12"/>
        <v>40.603005000000003</v>
      </c>
      <c r="G65" s="62">
        <f t="shared" si="12"/>
        <v>40.806020025000002</v>
      </c>
      <c r="H65" s="62">
        <f t="shared" si="12"/>
        <v>41.010050125125005</v>
      </c>
      <c r="I65" s="62">
        <f t="shared" si="12"/>
        <v>41.21510037575063</v>
      </c>
      <c r="J65" s="46"/>
      <c r="K65" s="46"/>
    </row>
    <row r="66" spans="2:11">
      <c r="B66" s="194" t="s">
        <v>328</v>
      </c>
      <c r="C66" s="62">
        <v>0</v>
      </c>
      <c r="D66" s="62">
        <v>2</v>
      </c>
      <c r="E66" s="62">
        <v>2.25</v>
      </c>
      <c r="F66" s="62">
        <v>2.5</v>
      </c>
      <c r="G66" s="62">
        <v>2.75</v>
      </c>
      <c r="H66" s="62">
        <v>3</v>
      </c>
      <c r="I66" s="62">
        <v>3.25</v>
      </c>
      <c r="J66" s="46"/>
      <c r="K66" s="46"/>
    </row>
    <row r="67" spans="2:11">
      <c r="B67" s="194" t="s">
        <v>315</v>
      </c>
      <c r="C67" s="62">
        <v>0.5</v>
      </c>
      <c r="D67" s="62">
        <f t="shared" ref="D67:I76" si="13">(0.005*C67)+C67</f>
        <v>0.50249999999999995</v>
      </c>
      <c r="E67" s="62">
        <f t="shared" si="13"/>
        <v>0.50501249999999998</v>
      </c>
      <c r="F67" s="62">
        <f t="shared" si="13"/>
        <v>0.50753756249999993</v>
      </c>
      <c r="G67" s="62">
        <f t="shared" si="13"/>
        <v>0.51007525031249989</v>
      </c>
      <c r="H67" s="62">
        <f t="shared" si="13"/>
        <v>0.51262562656406241</v>
      </c>
      <c r="I67" s="62">
        <f t="shared" si="13"/>
        <v>0.51518875469688274</v>
      </c>
      <c r="J67" s="46"/>
      <c r="K67" s="46"/>
    </row>
    <row r="68" spans="2:11">
      <c r="B68" s="194" t="s">
        <v>314</v>
      </c>
      <c r="C68" s="62">
        <v>1</v>
      </c>
      <c r="D68" s="62">
        <f t="shared" si="13"/>
        <v>1.0049999999999999</v>
      </c>
      <c r="E68" s="62">
        <f t="shared" si="13"/>
        <v>1.010025</v>
      </c>
      <c r="F68" s="62">
        <f t="shared" si="13"/>
        <v>1.0150751249999999</v>
      </c>
      <c r="G68" s="62">
        <f t="shared" si="13"/>
        <v>1.0201505006249998</v>
      </c>
      <c r="H68" s="62">
        <f t="shared" si="13"/>
        <v>1.0252512531281248</v>
      </c>
      <c r="I68" s="62">
        <f t="shared" si="13"/>
        <v>1.0303775093937655</v>
      </c>
      <c r="J68" s="46"/>
      <c r="K68" s="46"/>
    </row>
    <row r="69" spans="2:11">
      <c r="B69" s="194" t="s">
        <v>316</v>
      </c>
      <c r="C69" s="62">
        <v>0</v>
      </c>
      <c r="D69" s="62">
        <f t="shared" si="13"/>
        <v>0</v>
      </c>
      <c r="E69" s="62">
        <f t="shared" si="13"/>
        <v>0</v>
      </c>
      <c r="F69" s="62">
        <f t="shared" si="13"/>
        <v>0</v>
      </c>
      <c r="G69" s="62">
        <f t="shared" si="13"/>
        <v>0</v>
      </c>
      <c r="H69" s="62">
        <f t="shared" si="13"/>
        <v>0</v>
      </c>
      <c r="I69" s="62">
        <f t="shared" si="13"/>
        <v>0</v>
      </c>
      <c r="J69" s="46"/>
      <c r="K69" s="46"/>
    </row>
    <row r="70" spans="2:11">
      <c r="B70" s="194" t="s">
        <v>331</v>
      </c>
      <c r="C70" s="62">
        <v>8</v>
      </c>
      <c r="D70" s="62">
        <f t="shared" si="13"/>
        <v>8.0399999999999991</v>
      </c>
      <c r="E70" s="62">
        <f t="shared" si="13"/>
        <v>8.0801999999999996</v>
      </c>
      <c r="F70" s="62">
        <f t="shared" si="13"/>
        <v>8.1206009999999988</v>
      </c>
      <c r="G70" s="62">
        <f t="shared" si="13"/>
        <v>8.1612040049999983</v>
      </c>
      <c r="H70" s="62">
        <f t="shared" si="13"/>
        <v>8.2020100250249985</v>
      </c>
      <c r="I70" s="62">
        <f t="shared" si="13"/>
        <v>8.2430200751501239</v>
      </c>
      <c r="J70" s="46"/>
      <c r="K70" s="46"/>
    </row>
    <row r="71" spans="2:11">
      <c r="B71" s="194" t="s">
        <v>317</v>
      </c>
      <c r="C71" s="62">
        <v>11</v>
      </c>
      <c r="D71" s="62">
        <f t="shared" si="13"/>
        <v>11.055</v>
      </c>
      <c r="E71" s="62">
        <f t="shared" si="13"/>
        <v>11.110275</v>
      </c>
      <c r="F71" s="62">
        <f t="shared" si="13"/>
        <v>11.165826375</v>
      </c>
      <c r="G71" s="62">
        <f t="shared" si="13"/>
        <v>11.221655506875001</v>
      </c>
      <c r="H71" s="62">
        <f t="shared" si="13"/>
        <v>11.277763784409375</v>
      </c>
      <c r="I71" s="62">
        <f t="shared" si="13"/>
        <v>11.334152603331422</v>
      </c>
      <c r="J71" s="46"/>
      <c r="K71" s="46"/>
    </row>
    <row r="72" spans="2:11">
      <c r="B72" s="194" t="s">
        <v>89</v>
      </c>
      <c r="C72" s="62">
        <v>20</v>
      </c>
      <c r="D72" s="62">
        <f t="shared" si="13"/>
        <v>20.100000000000001</v>
      </c>
      <c r="E72" s="62">
        <f t="shared" si="13"/>
        <v>20.200500000000002</v>
      </c>
      <c r="F72" s="62">
        <f t="shared" si="13"/>
        <v>20.301502500000002</v>
      </c>
      <c r="G72" s="62">
        <f t="shared" si="13"/>
        <v>20.403010012500001</v>
      </c>
      <c r="H72" s="62">
        <f t="shared" si="13"/>
        <v>20.505025062562503</v>
      </c>
      <c r="I72" s="62">
        <f t="shared" si="13"/>
        <v>20.607550187875315</v>
      </c>
      <c r="J72" s="46"/>
      <c r="K72" s="46"/>
    </row>
    <row r="73" spans="2:11">
      <c r="B73" s="194" t="s">
        <v>318</v>
      </c>
      <c r="C73" s="62">
        <v>8.5</v>
      </c>
      <c r="D73" s="62">
        <f t="shared" si="13"/>
        <v>8.5425000000000004</v>
      </c>
      <c r="E73" s="62">
        <f t="shared" si="13"/>
        <v>8.5852125000000008</v>
      </c>
      <c r="F73" s="62">
        <f t="shared" si="13"/>
        <v>8.6281385625000002</v>
      </c>
      <c r="G73" s="62">
        <f t="shared" si="13"/>
        <v>8.6712792553125002</v>
      </c>
      <c r="H73" s="62">
        <f t="shared" si="13"/>
        <v>8.7146356515890631</v>
      </c>
      <c r="I73" s="62">
        <f t="shared" si="13"/>
        <v>8.7582088298470087</v>
      </c>
      <c r="J73" s="46"/>
      <c r="K73" s="46"/>
    </row>
    <row r="74" spans="2:11">
      <c r="B74" s="194" t="s">
        <v>332</v>
      </c>
      <c r="C74" s="62">
        <v>19</v>
      </c>
      <c r="D74" s="62">
        <f t="shared" si="13"/>
        <v>19.094999999999999</v>
      </c>
      <c r="E74" s="62">
        <f t="shared" si="13"/>
        <v>19.190474999999999</v>
      </c>
      <c r="F74" s="62">
        <f t="shared" si="13"/>
        <v>19.286427374999999</v>
      </c>
      <c r="G74" s="62">
        <f t="shared" si="13"/>
        <v>19.382859511874997</v>
      </c>
      <c r="H74" s="62">
        <f t="shared" si="13"/>
        <v>19.479773809434374</v>
      </c>
      <c r="I74" s="62">
        <f t="shared" si="13"/>
        <v>19.577172678481546</v>
      </c>
      <c r="J74" s="46"/>
      <c r="K74" s="46"/>
    </row>
    <row r="75" spans="2:11">
      <c r="B75" s="194" t="s">
        <v>90</v>
      </c>
      <c r="C75" s="62">
        <v>31</v>
      </c>
      <c r="D75" s="62">
        <f t="shared" si="13"/>
        <v>31.155000000000001</v>
      </c>
      <c r="E75" s="62">
        <f t="shared" si="13"/>
        <v>31.310775</v>
      </c>
      <c r="F75" s="62">
        <f t="shared" si="13"/>
        <v>31.467328875</v>
      </c>
      <c r="G75" s="62">
        <f t="shared" si="13"/>
        <v>31.624665519375</v>
      </c>
      <c r="H75" s="62">
        <f t="shared" si="13"/>
        <v>31.782788846971876</v>
      </c>
      <c r="I75" s="62">
        <f t="shared" si="13"/>
        <v>31.941702791206737</v>
      </c>
      <c r="J75" s="46"/>
      <c r="K75" s="46"/>
    </row>
    <row r="76" spans="2:11">
      <c r="B76" s="194" t="s">
        <v>319</v>
      </c>
      <c r="C76" s="62">
        <v>4</v>
      </c>
      <c r="D76" s="62">
        <f t="shared" si="13"/>
        <v>4.0199999999999996</v>
      </c>
      <c r="E76" s="62">
        <f t="shared" si="13"/>
        <v>4.0400999999999998</v>
      </c>
      <c r="F76" s="62">
        <f t="shared" si="13"/>
        <v>4.0603004999999994</v>
      </c>
      <c r="G76" s="62">
        <f t="shared" si="13"/>
        <v>4.0806020024999992</v>
      </c>
      <c r="H76" s="62">
        <f t="shared" si="13"/>
        <v>4.1010050125124993</v>
      </c>
      <c r="I76" s="62">
        <f t="shared" si="13"/>
        <v>4.121510037575062</v>
      </c>
      <c r="J76" s="46"/>
      <c r="K76" s="46"/>
    </row>
    <row r="77" spans="2:11"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2:11">
      <c r="B78" s="46" t="s">
        <v>320</v>
      </c>
      <c r="C78" s="46"/>
      <c r="D78" s="46"/>
      <c r="E78" s="46"/>
      <c r="F78" s="46"/>
      <c r="G78" s="46"/>
      <c r="H78" s="46"/>
      <c r="I78" s="46"/>
      <c r="J78" s="46"/>
      <c r="K78" s="46"/>
    </row>
    <row r="79" spans="2:11">
      <c r="B79" s="193" t="s">
        <v>45</v>
      </c>
      <c r="C79" s="192" t="s">
        <v>22</v>
      </c>
      <c r="D79" s="192" t="s">
        <v>98</v>
      </c>
      <c r="E79" s="192" t="s">
        <v>99</v>
      </c>
      <c r="F79" s="192" t="s">
        <v>100</v>
      </c>
      <c r="G79" s="192" t="s">
        <v>101</v>
      </c>
      <c r="H79" s="192" t="s">
        <v>102</v>
      </c>
      <c r="I79" s="192" t="s">
        <v>103</v>
      </c>
      <c r="J79" s="46"/>
      <c r="K79" s="46"/>
    </row>
    <row r="80" spans="2:11">
      <c r="B80" s="194" t="s">
        <v>321</v>
      </c>
      <c r="C80" s="62">
        <v>4500</v>
      </c>
      <c r="D80" s="62">
        <f t="shared" ref="D80:I80" si="14">(0.01*C80)+C80</f>
        <v>4545</v>
      </c>
      <c r="E80" s="62">
        <f t="shared" si="14"/>
        <v>4590.45</v>
      </c>
      <c r="F80" s="62">
        <f t="shared" si="14"/>
        <v>4636.3544999999995</v>
      </c>
      <c r="G80" s="62">
        <f t="shared" si="14"/>
        <v>4682.7180449999996</v>
      </c>
      <c r="H80" s="62">
        <f t="shared" si="14"/>
        <v>4729.5452254499996</v>
      </c>
      <c r="I80" s="62">
        <f t="shared" si="14"/>
        <v>4776.8406777044993</v>
      </c>
      <c r="J80" s="46"/>
      <c r="K80" s="46"/>
    </row>
    <row r="81" spans="2:11">
      <c r="B81" s="194" t="s">
        <v>322</v>
      </c>
      <c r="C81" s="62">
        <v>1000</v>
      </c>
      <c r="D81" s="62">
        <f t="shared" ref="D81:I84" si="15">(0.01*C81)+C81</f>
        <v>1010</v>
      </c>
      <c r="E81" s="62">
        <f t="shared" si="15"/>
        <v>1020.1</v>
      </c>
      <c r="F81" s="62">
        <f t="shared" si="15"/>
        <v>1030.3009999999999</v>
      </c>
      <c r="G81" s="62">
        <f t="shared" si="15"/>
        <v>1040.60401</v>
      </c>
      <c r="H81" s="62">
        <f t="shared" si="15"/>
        <v>1051.0100500999999</v>
      </c>
      <c r="I81" s="62">
        <f t="shared" si="15"/>
        <v>1061.5201506009998</v>
      </c>
      <c r="J81" s="46"/>
      <c r="K81" s="46"/>
    </row>
    <row r="82" spans="2:11">
      <c r="B82" s="194" t="s">
        <v>323</v>
      </c>
      <c r="C82" s="62">
        <v>0</v>
      </c>
      <c r="D82" s="62">
        <f t="shared" si="15"/>
        <v>0</v>
      </c>
      <c r="E82" s="62">
        <f t="shared" si="15"/>
        <v>0</v>
      </c>
      <c r="F82" s="62">
        <f t="shared" si="15"/>
        <v>0</v>
      </c>
      <c r="G82" s="62">
        <f t="shared" si="15"/>
        <v>0</v>
      </c>
      <c r="H82" s="62">
        <f t="shared" si="15"/>
        <v>0</v>
      </c>
      <c r="I82" s="62">
        <f t="shared" si="15"/>
        <v>0</v>
      </c>
      <c r="J82" s="46"/>
      <c r="K82" s="46"/>
    </row>
    <row r="83" spans="2:11">
      <c r="B83" s="194" t="s">
        <v>324</v>
      </c>
      <c r="C83" s="62">
        <v>0</v>
      </c>
      <c r="D83" s="62">
        <f t="shared" si="15"/>
        <v>0</v>
      </c>
      <c r="E83" s="62">
        <f t="shared" si="15"/>
        <v>0</v>
      </c>
      <c r="F83" s="62">
        <f t="shared" si="15"/>
        <v>0</v>
      </c>
      <c r="G83" s="62">
        <f t="shared" si="15"/>
        <v>0</v>
      </c>
      <c r="H83" s="62">
        <f t="shared" si="15"/>
        <v>0</v>
      </c>
      <c r="I83" s="62">
        <f t="shared" si="15"/>
        <v>0</v>
      </c>
      <c r="J83" s="46"/>
      <c r="K83" s="46"/>
    </row>
    <row r="84" spans="2:11">
      <c r="B84" s="194" t="s">
        <v>325</v>
      </c>
      <c r="C84" s="62">
        <v>0</v>
      </c>
      <c r="D84" s="62">
        <v>2750</v>
      </c>
      <c r="E84" s="62">
        <f t="shared" si="15"/>
        <v>2777.5</v>
      </c>
      <c r="F84" s="62">
        <f t="shared" si="15"/>
        <v>2805.2750000000001</v>
      </c>
      <c r="G84" s="62">
        <f t="shared" si="15"/>
        <v>2833.3277499999999</v>
      </c>
      <c r="H84" s="62">
        <f t="shared" si="15"/>
        <v>2861.6610274999998</v>
      </c>
      <c r="I84" s="62">
        <f t="shared" si="15"/>
        <v>2890.2776377749997</v>
      </c>
      <c r="J84" s="46"/>
      <c r="K84" s="46"/>
    </row>
    <row r="85" spans="2:11">
      <c r="C85" s="29"/>
      <c r="K85" s="29"/>
    </row>
    <row r="86" spans="2:11">
      <c r="B86" s="46" t="s">
        <v>326</v>
      </c>
      <c r="C86" s="46"/>
      <c r="D86" s="46"/>
      <c r="E86" s="46"/>
      <c r="F86" s="46"/>
      <c r="G86" s="46"/>
      <c r="H86" s="46"/>
      <c r="I86" s="46"/>
      <c r="J86" s="46"/>
      <c r="K86" s="46"/>
    </row>
    <row r="87" spans="2:11">
      <c r="B87" s="193" t="s">
        <v>45</v>
      </c>
      <c r="C87" s="192" t="s">
        <v>22</v>
      </c>
      <c r="D87" s="192" t="s">
        <v>98</v>
      </c>
      <c r="E87" s="192" t="s">
        <v>99</v>
      </c>
      <c r="F87" s="192" t="s">
        <v>100</v>
      </c>
      <c r="G87" s="192" t="s">
        <v>101</v>
      </c>
      <c r="H87" s="192" t="s">
        <v>102</v>
      </c>
      <c r="I87" s="192" t="s">
        <v>103</v>
      </c>
      <c r="J87" s="46"/>
      <c r="K87" s="46"/>
    </row>
    <row r="88" spans="2:11">
      <c r="B88" s="194" t="s">
        <v>327</v>
      </c>
      <c r="C88" s="62">
        <v>5474</v>
      </c>
      <c r="D88" s="62">
        <f t="shared" ref="D88:I88" si="16">(0.01*C88)+C88</f>
        <v>5528.74</v>
      </c>
      <c r="E88" s="62">
        <f t="shared" si="16"/>
        <v>5584.0273999999999</v>
      </c>
      <c r="F88" s="62">
        <f t="shared" si="16"/>
        <v>5639.8676740000001</v>
      </c>
      <c r="G88" s="62">
        <f t="shared" si="16"/>
        <v>5696.2663507400002</v>
      </c>
      <c r="H88" s="62">
        <f t="shared" si="16"/>
        <v>5753.2290142474003</v>
      </c>
      <c r="I88" s="62">
        <f t="shared" si="16"/>
        <v>5810.7613043898746</v>
      </c>
      <c r="J88" s="46"/>
      <c r="K88" s="46"/>
    </row>
    <row r="89" spans="2:11">
      <c r="B89" s="194" t="s">
        <v>92</v>
      </c>
      <c r="C89" s="62">
        <v>0</v>
      </c>
      <c r="D89" s="62">
        <f t="shared" ref="D89:I89" si="17">(0.01*C89)+C89</f>
        <v>0</v>
      </c>
      <c r="E89" s="62">
        <f t="shared" si="17"/>
        <v>0</v>
      </c>
      <c r="F89" s="62">
        <f t="shared" si="17"/>
        <v>0</v>
      </c>
      <c r="G89" s="62">
        <f t="shared" si="17"/>
        <v>0</v>
      </c>
      <c r="H89" s="62">
        <f t="shared" si="17"/>
        <v>0</v>
      </c>
      <c r="I89" s="62">
        <f t="shared" si="17"/>
        <v>0</v>
      </c>
      <c r="J89" s="46"/>
      <c r="K89" s="46"/>
    </row>
    <row r="90" spans="2:11">
      <c r="C90" s="29"/>
      <c r="K90" s="29"/>
    </row>
  </sheetData>
  <sheetProtection password="DF03" sheet="1" objects="1" scenarios="1"/>
  <mergeCells count="5">
    <mergeCell ref="B10:I10"/>
    <mergeCell ref="B16:I16"/>
    <mergeCell ref="B20:I20"/>
    <mergeCell ref="B26:I26"/>
    <mergeCell ref="B38:I38"/>
  </mergeCells>
  <pageMargins left="0.5" right="0.5" top="0.5" bottom="0.5" header="0.3" footer="0.3"/>
  <pageSetup orientation="landscape" horizontalDpi="4294967293" verticalDpi="1200" r:id="rId1"/>
  <headerFooter>
    <oddFooter>&amp;LPPA General Questionaire&amp;CPinellas Preparatory Academy, Inc.&amp;RPage &amp;P or &amp;N</oddFooter>
  </headerFooter>
  <rowBreaks count="2" manualBreakCount="2">
    <brk id="36" max="16383" man="1"/>
    <brk id="7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7"/>
  <sheetViews>
    <sheetView showGridLines="0" view="pageLayout" zoomScale="85" zoomScaleNormal="100" zoomScalePageLayoutView="85" workbookViewId="0"/>
  </sheetViews>
  <sheetFormatPr defaultRowHeight="15"/>
  <cols>
    <col min="1" max="1" width="1.28515625" style="89" customWidth="1"/>
    <col min="2" max="2" width="3.5703125" style="277" customWidth="1"/>
    <col min="3" max="3" width="32.28515625" style="89" customWidth="1"/>
    <col min="4" max="4" width="14.28515625" style="306" bestFit="1" customWidth="1"/>
    <col min="5" max="10" width="14" style="307" bestFit="1" customWidth="1"/>
  </cols>
  <sheetData>
    <row r="1" spans="1:10" ht="27">
      <c r="A1" s="295" t="s">
        <v>476</v>
      </c>
      <c r="B1" s="295"/>
      <c r="C1" s="295"/>
      <c r="D1" s="305"/>
      <c r="E1" s="305"/>
      <c r="F1" s="305"/>
      <c r="G1" s="305"/>
      <c r="H1" s="305"/>
      <c r="I1" s="305"/>
      <c r="J1" s="305"/>
    </row>
    <row r="2" spans="1:10" ht="15.75">
      <c r="A2" s="90" t="s">
        <v>13</v>
      </c>
      <c r="B2" s="276"/>
      <c r="C2" s="90"/>
    </row>
    <row r="3" spans="1:10" ht="20.25">
      <c r="A3" s="90"/>
      <c r="B3" s="275"/>
      <c r="C3" s="91"/>
    </row>
    <row r="4" spans="1:10" ht="20.25">
      <c r="A4" s="90"/>
      <c r="B4" s="275"/>
      <c r="C4" s="304" t="s">
        <v>206</v>
      </c>
      <c r="D4" s="308"/>
    </row>
    <row r="5" spans="1:10" ht="15.75" thickBot="1">
      <c r="D5" s="309" t="s">
        <v>22</v>
      </c>
      <c r="E5" s="309" t="s">
        <v>98</v>
      </c>
      <c r="F5" s="309" t="s">
        <v>99</v>
      </c>
      <c r="G5" s="309" t="s">
        <v>100</v>
      </c>
      <c r="H5" s="309" t="s">
        <v>101</v>
      </c>
      <c r="I5" s="309" t="s">
        <v>102</v>
      </c>
      <c r="J5" s="309" t="s">
        <v>103</v>
      </c>
    </row>
    <row r="6" spans="1:10">
      <c r="C6" s="92" t="s">
        <v>207</v>
      </c>
      <c r="D6" s="310">
        <f>'Income Estimates'!C90</f>
        <v>2289524.9</v>
      </c>
      <c r="E6" s="310">
        <f>'Income Estimates'!D90</f>
        <v>2289524.9</v>
      </c>
      <c r="F6" s="310">
        <f>'Income Estimates'!E90</f>
        <v>2312420.1490000002</v>
      </c>
      <c r="G6" s="310">
        <f>'Income Estimates'!F90</f>
        <v>2335544.3504900001</v>
      </c>
      <c r="H6" s="310">
        <f>'Income Estimates'!G90</f>
        <v>2358899.7939949003</v>
      </c>
      <c r="I6" s="310">
        <f>'Income Estimates'!H90</f>
        <v>2382488.7919348492</v>
      </c>
      <c r="J6" s="310">
        <f>'Income Estimates'!I90</f>
        <v>2406313.6798541979</v>
      </c>
    </row>
    <row r="7" spans="1:10">
      <c r="C7" s="93" t="s">
        <v>208</v>
      </c>
      <c r="D7" s="310">
        <f>'Income Estimates'!C91</f>
        <v>187249.14</v>
      </c>
      <c r="E7" s="310">
        <f>'Income Estimates'!D91</f>
        <v>172269.20879999999</v>
      </c>
      <c r="F7" s="310">
        <f>'Income Estimates'!E91</f>
        <v>158487.67209599999</v>
      </c>
      <c r="G7" s="310">
        <f>'Income Estimates'!F91</f>
        <v>145808.65832831999</v>
      </c>
      <c r="H7" s="310">
        <f>'Income Estimates'!G91</f>
        <v>134143.96566205437</v>
      </c>
      <c r="I7" s="310">
        <f>'Income Estimates'!H91</f>
        <v>123412.44840909005</v>
      </c>
      <c r="J7" s="310">
        <f>'Income Estimates'!I91</f>
        <v>113539.45253636283</v>
      </c>
    </row>
    <row r="8" spans="1:10">
      <c r="C8" s="93" t="s">
        <v>209</v>
      </c>
      <c r="D8" s="310">
        <f>'Income Estimates'!C92</f>
        <v>4680</v>
      </c>
      <c r="E8" s="310">
        <f>'Income Estimates'!D92</f>
        <v>4680</v>
      </c>
      <c r="F8" s="310">
        <f>'Income Estimates'!E92</f>
        <v>4940</v>
      </c>
      <c r="G8" s="310">
        <f>'Income Estimates'!F92</f>
        <v>5200</v>
      </c>
      <c r="H8" s="310">
        <f>'Income Estimates'!G92</f>
        <v>5200</v>
      </c>
      <c r="I8" s="310">
        <f>'Income Estimates'!H92</f>
        <v>5200</v>
      </c>
      <c r="J8" s="310">
        <f>'Income Estimates'!I92</f>
        <v>5200</v>
      </c>
    </row>
    <row r="9" spans="1:10">
      <c r="C9" s="93" t="s">
        <v>210</v>
      </c>
      <c r="D9" s="311"/>
      <c r="E9" s="311"/>
      <c r="F9" s="311"/>
      <c r="G9" s="311"/>
      <c r="H9" s="311"/>
      <c r="I9" s="311"/>
      <c r="J9" s="311"/>
    </row>
    <row r="10" spans="1:10" ht="15.75" thickBot="1">
      <c r="C10" s="94" t="s">
        <v>211</v>
      </c>
      <c r="D10" s="312"/>
      <c r="E10" s="312"/>
      <c r="F10" s="312"/>
      <c r="G10" s="312"/>
      <c r="H10" s="312"/>
      <c r="I10" s="312"/>
      <c r="J10" s="312"/>
    </row>
    <row r="11" spans="1:10" ht="15.75" thickBot="1">
      <c r="C11" s="95" t="s">
        <v>212</v>
      </c>
      <c r="D11" s="313">
        <f t="shared" ref="D11:J11" si="0">SUM(D6:D10)</f>
        <v>2481454.04</v>
      </c>
      <c r="E11" s="313">
        <f t="shared" si="0"/>
        <v>2466474.1088</v>
      </c>
      <c r="F11" s="313">
        <f t="shared" si="0"/>
        <v>2475847.8210960003</v>
      </c>
      <c r="G11" s="313">
        <f t="shared" si="0"/>
        <v>2486553.00881832</v>
      </c>
      <c r="H11" s="313">
        <f t="shared" si="0"/>
        <v>2498243.7596569546</v>
      </c>
      <c r="I11" s="313">
        <f t="shared" si="0"/>
        <v>2511101.2403439395</v>
      </c>
      <c r="J11" s="313">
        <f t="shared" si="0"/>
        <v>2525053.1323905606</v>
      </c>
    </row>
    <row r="12" spans="1:10">
      <c r="B12" s="278"/>
    </row>
    <row r="13" spans="1:10">
      <c r="B13" s="279" t="s">
        <v>213</v>
      </c>
      <c r="C13" s="96"/>
    </row>
    <row r="14" spans="1:10" ht="15.75" thickBot="1">
      <c r="B14" s="279" t="s">
        <v>214</v>
      </c>
      <c r="C14" s="97" t="s">
        <v>51</v>
      </c>
    </row>
    <row r="15" spans="1:10">
      <c r="A15" s="98"/>
      <c r="B15" s="421" t="s">
        <v>215</v>
      </c>
      <c r="C15" s="421"/>
    </row>
    <row r="16" spans="1:10">
      <c r="A16" s="99"/>
      <c r="B16" s="280">
        <v>100</v>
      </c>
      <c r="C16" s="101" t="s">
        <v>216</v>
      </c>
    </row>
    <row r="17" spans="1:10">
      <c r="A17" s="99"/>
      <c r="B17" s="278">
        <v>120</v>
      </c>
      <c r="C17" s="102" t="s">
        <v>217</v>
      </c>
      <c r="D17" s="310">
        <f>'PPA-Staff'!C104+'PPA-General'!C88</f>
        <v>754779.16157811251</v>
      </c>
      <c r="E17" s="310">
        <f>'PPA-Staff'!D104+'PPA-General'!D88</f>
        <v>771022.09844567801</v>
      </c>
      <c r="F17" s="310">
        <f>'PPA-Staff'!E104+'PPA-General'!E88</f>
        <v>787413.56348247419</v>
      </c>
      <c r="G17" s="310">
        <f>'PPA-Staff'!F104+'PPA-General'!F88</f>
        <v>803132.20867320697</v>
      </c>
      <c r="H17" s="310">
        <f>'PPA-Staff'!G104+'PPA-General'!G88</f>
        <v>819915.17158468137</v>
      </c>
      <c r="I17" s="310">
        <f>'PPA-Staff'!H104+'PPA-General'!H88</f>
        <v>837371.36462090875</v>
      </c>
      <c r="J17" s="310">
        <f>'PPA-Staff'!I104+'PPA-General'!I88</f>
        <v>854013.08485712588</v>
      </c>
    </row>
    <row r="18" spans="1:10">
      <c r="A18" s="99"/>
      <c r="B18" s="278">
        <v>130</v>
      </c>
      <c r="C18" s="103" t="s">
        <v>218</v>
      </c>
      <c r="D18" s="310">
        <f>'PPA-Staff'!C105+SharedStaff!C110</f>
        <v>270582.41945876286</v>
      </c>
      <c r="E18" s="310">
        <f>'PPA-Staff'!D105+SharedStaff!D110</f>
        <v>276428.15721649484</v>
      </c>
      <c r="F18" s="310">
        <f>'PPA-Staff'!E105+SharedStaff!E110</f>
        <v>282327.33247422677</v>
      </c>
      <c r="G18" s="310">
        <f>'PPA-Staff'!F105+SharedStaff!F110</f>
        <v>287983.34536082478</v>
      </c>
      <c r="H18" s="310">
        <f>'PPA-Staff'!G105+SharedStaff!G110</f>
        <v>294023.49355670105</v>
      </c>
      <c r="I18" s="310">
        <f>'PPA-Staff'!H105+SharedStaff!H110</f>
        <v>300306.54896907217</v>
      </c>
      <c r="J18" s="310">
        <f>'PPA-Staff'!I105+SharedStaff!I110</f>
        <v>306295.28350515466</v>
      </c>
    </row>
    <row r="19" spans="1:10">
      <c r="A19" s="99"/>
      <c r="B19" s="281">
        <v>140</v>
      </c>
      <c r="C19" s="104" t="s">
        <v>219</v>
      </c>
      <c r="D19" s="310">
        <f>'PPA-Staff'!C57</f>
        <v>22000</v>
      </c>
      <c r="E19" s="310">
        <f>'PPA-Staff'!D57</f>
        <v>22950</v>
      </c>
      <c r="F19" s="310">
        <f>'PPA-Staff'!E57</f>
        <v>22950</v>
      </c>
      <c r="G19" s="310">
        <f>'PPA-Staff'!F57</f>
        <v>23375</v>
      </c>
      <c r="H19" s="310">
        <f>'PPA-Staff'!G57</f>
        <v>24750</v>
      </c>
      <c r="I19" s="310">
        <f>'PPA-Staff'!H57</f>
        <v>24750</v>
      </c>
      <c r="J19" s="310">
        <f>'PPA-Staff'!I57</f>
        <v>24750</v>
      </c>
    </row>
    <row r="20" spans="1:10">
      <c r="A20" s="99"/>
      <c r="B20" s="281">
        <v>150</v>
      </c>
      <c r="C20" s="104" t="s">
        <v>54</v>
      </c>
      <c r="D20" s="310">
        <f>'PPA-Staff'!C106+SharedStaff!C111</f>
        <v>18724.719999999998</v>
      </c>
      <c r="E20" s="310">
        <f>'PPA-Staff'!D106+SharedStaff!D111</f>
        <v>18825.120643431634</v>
      </c>
      <c r="F20" s="310">
        <f>'PPA-Staff'!E106+SharedStaff!E111</f>
        <v>18925.52128686327</v>
      </c>
      <c r="G20" s="310">
        <f>'PPA-Staff'!F106+SharedStaff!F111</f>
        <v>19025.921930294906</v>
      </c>
      <c r="H20" s="310">
        <f>'PPA-Staff'!G106+SharedStaff!G111</f>
        <v>19126.322573726538</v>
      </c>
      <c r="I20" s="310">
        <f>'PPA-Staff'!H106+SharedStaff!H111</f>
        <v>19226.723217158175</v>
      </c>
      <c r="J20" s="310">
        <f>'PPA-Staff'!I106+SharedStaff!I111</f>
        <v>19327.123860589811</v>
      </c>
    </row>
    <row r="21" spans="1:10">
      <c r="A21" s="99"/>
      <c r="B21" s="281">
        <v>220</v>
      </c>
      <c r="C21" s="104" t="s">
        <v>65</v>
      </c>
      <c r="D21" s="310">
        <f>'PPA-Staff'!C107+SharedStaff!C112</f>
        <v>79453.84102932096</v>
      </c>
      <c r="E21" s="310">
        <f>'PPA-Staff'!D107+SharedStaff!D112</f>
        <v>81147.11767737873</v>
      </c>
      <c r="F21" s="310">
        <f>'PPA-Staff'!E107+SharedStaff!E112</f>
        <v>82855.80282303266</v>
      </c>
      <c r="G21" s="310">
        <f>'PPA-Staff'!F107+SharedStaff!F112</f>
        <v>84494.373034210003</v>
      </c>
      <c r="H21" s="310">
        <f>'PPA-Staff'!G107+SharedStaff!G112</f>
        <v>86243.707184374216</v>
      </c>
      <c r="I21" s="310">
        <f>'PPA-Staff'!H107+SharedStaff!H112</f>
        <v>88063.082696156212</v>
      </c>
      <c r="J21" s="310">
        <f>'PPA-Staff'!I107+SharedStaff!I112</f>
        <v>89797.591915263765</v>
      </c>
    </row>
    <row r="22" spans="1:10">
      <c r="A22" s="99"/>
      <c r="B22" s="281">
        <v>240</v>
      </c>
      <c r="C22" s="104" t="s">
        <v>220</v>
      </c>
      <c r="D22" s="310">
        <f>'PPA-Staff'!C108+SharedStaff!C113</f>
        <v>5504.6451954954391</v>
      </c>
      <c r="E22" s="310">
        <f>'PPA-Staff'!D108+SharedStaff!D113</f>
        <v>5621.9571724197031</v>
      </c>
      <c r="F22" s="310">
        <f>'PPA-Staff'!E108+SharedStaff!E113</f>
        <v>5740.3366661708906</v>
      </c>
      <c r="G22" s="310">
        <f>'PPA-Staff'!F108+SharedStaff!F113</f>
        <v>5853.8585239387321</v>
      </c>
      <c r="H22" s="310">
        <f>'PPA-Staff'!G108+SharedStaff!G113</f>
        <v>5975.0542232311554</v>
      </c>
      <c r="I22" s="310">
        <f>'PPA-Staff'!H108+SharedStaff!H113</f>
        <v>6101.1024613023255</v>
      </c>
      <c r="J22" s="310">
        <f>'PPA-Staff'!I108+SharedStaff!I113</f>
        <v>6221.2710738679471</v>
      </c>
    </row>
    <row r="23" spans="1:10">
      <c r="A23" s="99"/>
      <c r="B23" s="281">
        <v>290</v>
      </c>
      <c r="C23" s="104" t="s">
        <v>221</v>
      </c>
      <c r="D23" s="310">
        <f>'PPA-Staff'!C110+SharedStaff!C115</f>
        <v>160984.90666071567</v>
      </c>
      <c r="E23" s="310">
        <f>'PPA-Staff'!D110+SharedStaff!D115</f>
        <v>164415.72862736866</v>
      </c>
      <c r="F23" s="310">
        <f>'PPA-Staff'!E110+SharedStaff!E115</f>
        <v>167877.77042575245</v>
      </c>
      <c r="G23" s="310">
        <f>'PPA-Staff'!F110+SharedStaff!F115</f>
        <v>171197.74928500064</v>
      </c>
      <c r="H23" s="310">
        <f>'PPA-Staff'!G110+SharedStaff!G115</f>
        <v>174742.15181147718</v>
      </c>
      <c r="I23" s="310">
        <f>'PPA-Staff'!H110+SharedStaff!H115</f>
        <v>178428.4682078982</v>
      </c>
      <c r="J23" s="310">
        <f>'PPA-Staff'!I110+SharedStaff!I115</f>
        <v>181942.83329236449</v>
      </c>
    </row>
    <row r="24" spans="1:10">
      <c r="A24" s="99"/>
      <c r="B24" s="282">
        <v>250</v>
      </c>
      <c r="C24" s="104" t="s">
        <v>222</v>
      </c>
      <c r="D24" s="310">
        <f>'PPA-Staff'!C109+SharedStaff!C114</f>
        <v>9639</v>
      </c>
      <c r="E24" s="310">
        <f>'PPA-Staff'!D109+SharedStaff!D114</f>
        <v>11016</v>
      </c>
      <c r="F24" s="310">
        <f>'PPA-Staff'!E109+SharedStaff!E114</f>
        <v>11016</v>
      </c>
      <c r="G24" s="310">
        <f>'PPA-Staff'!F109+SharedStaff!F114</f>
        <v>10327.5</v>
      </c>
      <c r="H24" s="310">
        <f>'PPA-Staff'!G109+SharedStaff!G114</f>
        <v>9639</v>
      </c>
      <c r="I24" s="310">
        <f>'PPA-Staff'!H109+SharedStaff!H114</f>
        <v>8950.5</v>
      </c>
      <c r="J24" s="310">
        <f>'PPA-Staff'!I109+SharedStaff!I114</f>
        <v>8262</v>
      </c>
    </row>
    <row r="25" spans="1:10">
      <c r="A25" s="99"/>
      <c r="B25" s="281">
        <v>510</v>
      </c>
      <c r="C25" s="104" t="s">
        <v>223</v>
      </c>
      <c r="D25" s="310">
        <f>'PPA-Staff'!C27*'PPA-General'!C65+'PPA-General'!C89</f>
        <v>15600</v>
      </c>
      <c r="E25" s="310">
        <f>'PPA-Staff'!D27*'PPA-General'!D65+'PPA-General'!D89</f>
        <v>15678.000000000002</v>
      </c>
      <c r="F25" s="310">
        <f>'PPA-Staff'!E27*'PPA-General'!E65+'PPA-General'!E89</f>
        <v>15756.390000000001</v>
      </c>
      <c r="G25" s="310">
        <f>'PPA-Staff'!F27*'PPA-General'!F65+'PPA-General'!F89</f>
        <v>15835.171950000002</v>
      </c>
      <c r="H25" s="310">
        <f>'PPA-Staff'!G27*'PPA-General'!G65+'PPA-General'!G89</f>
        <v>15914.347809750001</v>
      </c>
      <c r="I25" s="310">
        <f>'PPA-Staff'!H27*'PPA-General'!H65+'PPA-General'!H89</f>
        <v>15993.919548798753</v>
      </c>
      <c r="J25" s="310">
        <f>'PPA-Staff'!I27*'PPA-General'!I65+'PPA-General'!I89</f>
        <v>16073.889146542746</v>
      </c>
    </row>
    <row r="26" spans="1:10">
      <c r="A26" s="99"/>
      <c r="B26" s="281">
        <v>520</v>
      </c>
      <c r="C26" s="104" t="s">
        <v>224</v>
      </c>
      <c r="D26" s="310">
        <f>'PPA-General'!C54</f>
        <v>24000</v>
      </c>
      <c r="E26" s="310">
        <f>'PPA-General'!D54</f>
        <v>39015</v>
      </c>
      <c r="F26" s="310">
        <f>'PPA-General'!E54</f>
        <v>39795.299999999996</v>
      </c>
      <c r="G26" s="310">
        <f>'PPA-General'!F54</f>
        <v>40591.205999999991</v>
      </c>
      <c r="H26" s="310">
        <f>'PPA-General'!G54</f>
        <v>41403.030119999996</v>
      </c>
      <c r="I26" s="310">
        <f>'PPA-General'!H54</f>
        <v>42231.090722400004</v>
      </c>
      <c r="J26" s="310">
        <f>'PPA-General'!I54</f>
        <v>43075.712536848005</v>
      </c>
    </row>
    <row r="27" spans="1:10">
      <c r="A27" s="99"/>
      <c r="B27" s="281">
        <v>610</v>
      </c>
      <c r="C27" s="104" t="s">
        <v>225</v>
      </c>
      <c r="D27" s="310">
        <f>'PPA-Staff'!C27*'PPA-General'!C66</f>
        <v>0</v>
      </c>
      <c r="E27" s="310">
        <f>'PPA-Staff'!D27*'PPA-General'!D66</f>
        <v>780</v>
      </c>
      <c r="F27" s="310">
        <f>'PPA-Staff'!E27*'PPA-General'!E66</f>
        <v>877.5</v>
      </c>
      <c r="G27" s="310">
        <f>'PPA-Staff'!F27*'PPA-General'!F66</f>
        <v>975</v>
      </c>
      <c r="H27" s="310">
        <f>'PPA-Staff'!G27*'PPA-General'!G66</f>
        <v>1072.5</v>
      </c>
      <c r="I27" s="310">
        <f>'PPA-Staff'!H27*'PPA-General'!H66</f>
        <v>1170</v>
      </c>
      <c r="J27" s="310">
        <f>'PPA-Staff'!I27*'PPA-General'!I66</f>
        <v>1267.5</v>
      </c>
    </row>
    <row r="28" spans="1:10">
      <c r="A28" s="99"/>
      <c r="B28" s="281">
        <v>644</v>
      </c>
      <c r="C28" s="104" t="s">
        <v>329</v>
      </c>
      <c r="D28" s="310">
        <f>'PPA-General'!C82+'PPA-General'!C81</f>
        <v>1000</v>
      </c>
      <c r="E28" s="310">
        <f>'PPA-General'!D82+'PPA-General'!D81</f>
        <v>1010</v>
      </c>
      <c r="F28" s="310">
        <f>'PPA-General'!E82+'PPA-General'!E81</f>
        <v>1020.1</v>
      </c>
      <c r="G28" s="310">
        <f>'PPA-General'!F82+'PPA-General'!F81</f>
        <v>1030.3009999999999</v>
      </c>
      <c r="H28" s="310">
        <f>'PPA-General'!G82+'PPA-General'!G81</f>
        <v>1040.60401</v>
      </c>
      <c r="I28" s="310">
        <f>'PPA-General'!H82+'PPA-General'!H81</f>
        <v>1051.0100500999999</v>
      </c>
      <c r="J28" s="310">
        <f>'PPA-General'!I82+'PPA-General'!I81</f>
        <v>1061.5201506009998</v>
      </c>
    </row>
    <row r="29" spans="1:10">
      <c r="A29" s="99"/>
      <c r="B29" s="281">
        <v>691</v>
      </c>
      <c r="C29" s="104" t="s">
        <v>227</v>
      </c>
      <c r="D29" s="310">
        <f>'PPA-General'!C83+'PPA-General'!C84</f>
        <v>0</v>
      </c>
      <c r="E29" s="310">
        <f>'PPA-General'!D83+'PPA-General'!D84</f>
        <v>2750</v>
      </c>
      <c r="F29" s="310">
        <f>'PPA-General'!E83+'PPA-General'!E84</f>
        <v>2777.5</v>
      </c>
      <c r="G29" s="310">
        <f>'PPA-General'!F83+'PPA-General'!F84</f>
        <v>2805.2750000000001</v>
      </c>
      <c r="H29" s="310">
        <f>'PPA-General'!G83+'PPA-General'!G84</f>
        <v>2833.3277499999999</v>
      </c>
      <c r="I29" s="310">
        <f>'PPA-General'!H83+'PPA-General'!H84</f>
        <v>2861.6610274999998</v>
      </c>
      <c r="J29" s="310">
        <f>'PPA-General'!I83+'PPA-General'!I84</f>
        <v>2890.2776377749997</v>
      </c>
    </row>
    <row r="30" spans="1:10">
      <c r="A30" s="99"/>
      <c r="B30" s="281">
        <v>730</v>
      </c>
      <c r="C30" s="104" t="s">
        <v>228</v>
      </c>
      <c r="D30" s="310">
        <f>'PPA-Staff'!C27*'PPA-General'!C67</f>
        <v>195</v>
      </c>
      <c r="E30" s="310">
        <f>'PPA-Staff'!D27*'PPA-General'!D67</f>
        <v>195.97499999999997</v>
      </c>
      <c r="F30" s="310">
        <f>'PPA-Staff'!E27*'PPA-General'!E67</f>
        <v>196.95487499999999</v>
      </c>
      <c r="G30" s="310">
        <f>'PPA-Staff'!F27*'PPA-General'!F67</f>
        <v>197.93964937499996</v>
      </c>
      <c r="H30" s="310">
        <f>'PPA-Staff'!G27*'PPA-General'!G67</f>
        <v>198.92934762187497</v>
      </c>
      <c r="I30" s="310">
        <f>'PPA-Staff'!H27*'PPA-General'!H67</f>
        <v>199.92399435998433</v>
      </c>
      <c r="J30" s="310">
        <f>'PPA-Staff'!I27*'PPA-General'!I67</f>
        <v>200.92361433178428</v>
      </c>
    </row>
    <row r="31" spans="1:10" ht="15.75" thickBot="1">
      <c r="A31" s="105"/>
      <c r="B31" s="283"/>
      <c r="C31" s="106" t="s">
        <v>229</v>
      </c>
      <c r="D31" s="314">
        <f>SUM(D17:D30)</f>
        <v>1362463.6939224075</v>
      </c>
      <c r="E31" s="314">
        <f t="shared" ref="E31:J31" si="1">SUM(E17:E30)</f>
        <v>1410855.1547827714</v>
      </c>
      <c r="F31" s="314">
        <f t="shared" si="1"/>
        <v>1439530.0720335206</v>
      </c>
      <c r="G31" s="314">
        <f t="shared" si="1"/>
        <v>1466824.8504068509</v>
      </c>
      <c r="H31" s="314">
        <f t="shared" si="1"/>
        <v>1496877.6399715631</v>
      </c>
      <c r="I31" s="314">
        <f t="shared" si="1"/>
        <v>1526705.3955156547</v>
      </c>
      <c r="J31" s="314">
        <f t="shared" si="1"/>
        <v>1555179.011590465</v>
      </c>
    </row>
    <row r="32" spans="1:10" ht="15.75" thickBot="1">
      <c r="A32" s="107"/>
      <c r="B32" s="284"/>
      <c r="C32" s="108"/>
    </row>
    <row r="33" spans="1:10">
      <c r="A33" s="98"/>
      <c r="B33" s="421" t="s">
        <v>230</v>
      </c>
      <c r="C33" s="421"/>
    </row>
    <row r="34" spans="1:10">
      <c r="A34" s="99"/>
      <c r="B34" s="280">
        <v>100</v>
      </c>
      <c r="C34" s="101" t="s">
        <v>216</v>
      </c>
    </row>
    <row r="35" spans="1:10">
      <c r="A35" s="99"/>
      <c r="B35" s="278">
        <v>130</v>
      </c>
      <c r="C35" s="102" t="s">
        <v>231</v>
      </c>
      <c r="D35" s="310">
        <f>+'PPA-Staff'!C113+SharedStaff!C118</f>
        <v>62442.096798176048</v>
      </c>
      <c r="E35" s="310">
        <f>+'PPA-Staff'!D113+SharedStaff!D118</f>
        <v>56933.991249346182</v>
      </c>
      <c r="F35" s="310">
        <f>+'PPA-Staff'!E113+SharedStaff!E118</f>
        <v>56483.264321143746</v>
      </c>
      <c r="G35" s="310">
        <f>+'PPA-Staff'!F113+SharedStaff!F118</f>
        <v>66457.695083267259</v>
      </c>
      <c r="H35" s="310">
        <f>+'PPA-Staff'!G113+SharedStaff!G118</f>
        <v>67851.575436161773</v>
      </c>
      <c r="I35" s="310">
        <f>+'PPA-Staff'!H113+SharedStaff!H118</f>
        <v>69301.51130055511</v>
      </c>
      <c r="J35" s="310">
        <f>+'PPA-Staff'!I113+SharedStaff!I118</f>
        <v>70683.526962728007</v>
      </c>
    </row>
    <row r="36" spans="1:10">
      <c r="A36" s="99"/>
      <c r="B36" s="281">
        <v>220</v>
      </c>
      <c r="C36" s="104" t="s">
        <v>65</v>
      </c>
      <c r="D36" s="310">
        <f>+SharedStaff!C119+'PPA-Staff'!C114</f>
        <v>4776.8204050604672</v>
      </c>
      <c r="E36" s="310">
        <f>+SharedStaff!D119+'PPA-Staff'!D114</f>
        <v>4355.4503305749822</v>
      </c>
      <c r="F36" s="310">
        <f>+SharedStaff!E119+'PPA-Staff'!E114</f>
        <v>4320.9697205674966</v>
      </c>
      <c r="G36" s="310">
        <f>+SharedStaff!F119+'PPA-Staff'!F114</f>
        <v>5084.0136738699448</v>
      </c>
      <c r="H36" s="310">
        <f>+SharedStaff!G119+'PPA-Staff'!G114</f>
        <v>5190.6455208663756</v>
      </c>
      <c r="I36" s="310">
        <f>+SharedStaff!H119+'PPA-Staff'!H114</f>
        <v>5301.565614492466</v>
      </c>
      <c r="J36" s="310">
        <f>+SharedStaff!I119+'PPA-Staff'!I114</f>
        <v>5407.2898126486925</v>
      </c>
    </row>
    <row r="37" spans="1:10">
      <c r="A37" s="99"/>
      <c r="B37" s="281">
        <v>240</v>
      </c>
      <c r="C37" s="104" t="s">
        <v>220</v>
      </c>
      <c r="D37" s="310">
        <f>+'PPA-Staff'!C115+SharedStaff!C120</f>
        <v>330.94311303033305</v>
      </c>
      <c r="E37" s="310">
        <f>+'PPA-Staff'!D115+SharedStaff!D120</f>
        <v>301.75015362153476</v>
      </c>
      <c r="F37" s="310">
        <f>+'PPA-Staff'!E115+SharedStaff!E120</f>
        <v>299.36130090206188</v>
      </c>
      <c r="G37" s="310">
        <f>+'PPA-Staff'!F115+SharedStaff!F120</f>
        <v>352.22578394131648</v>
      </c>
      <c r="H37" s="310">
        <f>+'PPA-Staff'!G115+SharedStaff!G120</f>
        <v>359.61334981165737</v>
      </c>
      <c r="I37" s="310">
        <f>+'PPA-Staff'!H115+SharedStaff!H120</f>
        <v>367.2980098929421</v>
      </c>
      <c r="J37" s="310">
        <f>+'PPA-Staff'!I115+SharedStaff!I120</f>
        <v>374.62269290245843</v>
      </c>
    </row>
    <row r="38" spans="1:10">
      <c r="A38" s="99"/>
      <c r="B38" s="282">
        <v>250</v>
      </c>
      <c r="C38" s="104" t="s">
        <v>222</v>
      </c>
      <c r="D38" s="310">
        <f>+SharedStaff!C121+'PPA-Staff'!C116</f>
        <v>567</v>
      </c>
      <c r="E38" s="310">
        <f>+SharedStaff!D121+'PPA-Staff'!D116</f>
        <v>581.36170212765956</v>
      </c>
      <c r="F38" s="310">
        <f>+SharedStaff!E121+'PPA-Staff'!E116</f>
        <v>564.45283018867917</v>
      </c>
      <c r="G38" s="310">
        <f>+SharedStaff!F121+'PPA-Staff'!F116</f>
        <v>607.5</v>
      </c>
      <c r="H38" s="310">
        <f>+SharedStaff!G121+'PPA-Staff'!G116</f>
        <v>567</v>
      </c>
      <c r="I38" s="310">
        <f>+SharedStaff!H121+'PPA-Staff'!H116</f>
        <v>526.5</v>
      </c>
      <c r="J38" s="310">
        <f>+SharedStaff!I121+'PPA-Staff'!I116</f>
        <v>486</v>
      </c>
    </row>
    <row r="39" spans="1:10">
      <c r="A39" s="99"/>
      <c r="B39" s="281">
        <v>290</v>
      </c>
      <c r="C39" s="104" t="s">
        <v>221</v>
      </c>
      <c r="D39" s="310">
        <f>+SharedStaff!C122+'PPA-Staff'!C117</f>
        <v>9678.5250037172882</v>
      </c>
      <c r="E39" s="310">
        <f>+SharedStaff!D122+'PPA-Staff'!D117</f>
        <v>8824.7686436486583</v>
      </c>
      <c r="F39" s="310">
        <f>+SharedStaff!E122+'PPA-Staff'!E117</f>
        <v>8754.9059697772809</v>
      </c>
      <c r="G39" s="310">
        <f>+SharedStaff!F122+'PPA-Staff'!F117</f>
        <v>10300.942737906425</v>
      </c>
      <c r="H39" s="310">
        <f>+SharedStaff!G122+'PPA-Staff'!G117</f>
        <v>10516.994192605074</v>
      </c>
      <c r="I39" s="310">
        <f>+SharedStaff!H122+'PPA-Staff'!H117</f>
        <v>10741.734251586042</v>
      </c>
      <c r="J39" s="310">
        <f>+SharedStaff!I122+'PPA-Staff'!I117</f>
        <v>10955.946679222841</v>
      </c>
    </row>
    <row r="40" spans="1:10">
      <c r="A40" s="99"/>
      <c r="B40" s="281">
        <v>310</v>
      </c>
      <c r="C40" s="104" t="s">
        <v>232</v>
      </c>
      <c r="D40" s="310">
        <f>'PPA-General'!C14</f>
        <v>15120</v>
      </c>
      <c r="E40" s="310">
        <f>'PPA-General'!D14</f>
        <v>15975</v>
      </c>
      <c r="F40" s="310">
        <f>'PPA-General'!E14</f>
        <v>16848</v>
      </c>
      <c r="G40" s="310">
        <f>'PPA-General'!F14</f>
        <v>17739</v>
      </c>
      <c r="H40" s="310">
        <f>'PPA-General'!G14</f>
        <v>18648</v>
      </c>
      <c r="I40" s="310">
        <f>'PPA-General'!H14</f>
        <v>19575</v>
      </c>
      <c r="J40" s="310">
        <f>'PPA-General'!I14</f>
        <v>20520</v>
      </c>
    </row>
    <row r="41" spans="1:10">
      <c r="A41" s="99"/>
      <c r="B41" s="281">
        <v>510</v>
      </c>
      <c r="C41" s="104" t="s">
        <v>223</v>
      </c>
      <c r="D41" s="310">
        <f>'PPA-Staff'!C27*'PPA-General'!C68</f>
        <v>390</v>
      </c>
      <c r="E41" s="310">
        <f>'PPA-Staff'!D27*'PPA-General'!D68</f>
        <v>391.94999999999993</v>
      </c>
      <c r="F41" s="310">
        <f>'PPA-Staff'!E27*'PPA-General'!E68</f>
        <v>393.90974999999997</v>
      </c>
      <c r="G41" s="310">
        <f>'PPA-Staff'!F27*'PPA-General'!F68</f>
        <v>395.87929874999992</v>
      </c>
      <c r="H41" s="310">
        <f>'PPA-Staff'!G27*'PPA-General'!G68</f>
        <v>397.85869524374993</v>
      </c>
      <c r="I41" s="310">
        <f>'PPA-Staff'!H27*'PPA-General'!H68</f>
        <v>399.84798871996867</v>
      </c>
      <c r="J41" s="310">
        <f>'PPA-Staff'!I27*'PPA-General'!I68</f>
        <v>401.84722866356856</v>
      </c>
    </row>
    <row r="42" spans="1:10">
      <c r="A42" s="99"/>
      <c r="B42" s="281">
        <v>730</v>
      </c>
      <c r="C42" s="104" t="s">
        <v>228</v>
      </c>
      <c r="D42" s="310">
        <f>'PPA-Staff'!C27*'PPA-General'!C69</f>
        <v>0</v>
      </c>
      <c r="E42" s="310">
        <f>'PPA-Staff'!D27*'PPA-General'!D69</f>
        <v>0</v>
      </c>
      <c r="F42" s="310">
        <f>'PPA-Staff'!E27*'PPA-General'!E69</f>
        <v>0</v>
      </c>
      <c r="G42" s="310">
        <f>'PPA-Staff'!F27*'PPA-General'!F69</f>
        <v>0</v>
      </c>
      <c r="H42" s="310">
        <f>'PPA-Staff'!G27*'PPA-General'!G69</f>
        <v>0</v>
      </c>
      <c r="I42" s="310">
        <f>'PPA-Staff'!H27*'PPA-General'!H69</f>
        <v>0</v>
      </c>
      <c r="J42" s="310">
        <f>'PPA-Staff'!I27*'PPA-General'!I69</f>
        <v>0</v>
      </c>
    </row>
    <row r="43" spans="1:10" ht="15.75" thickBot="1">
      <c r="A43" s="105"/>
      <c r="B43" s="283"/>
      <c r="C43" s="106" t="s">
        <v>229</v>
      </c>
      <c r="D43" s="314">
        <f t="shared" ref="D43:J43" si="2">SUM(D35:D42)</f>
        <v>93305.38531998414</v>
      </c>
      <c r="E43" s="314">
        <f t="shared" si="2"/>
        <v>87364.272079319009</v>
      </c>
      <c r="F43" s="314">
        <f t="shared" si="2"/>
        <v>87664.863892579277</v>
      </c>
      <c r="G43" s="314">
        <f t="shared" si="2"/>
        <v>100937.25657773497</v>
      </c>
      <c r="H43" s="314">
        <f t="shared" si="2"/>
        <v>103531.68719468862</v>
      </c>
      <c r="I43" s="314">
        <f t="shared" si="2"/>
        <v>106213.45716524652</v>
      </c>
      <c r="J43" s="314">
        <f t="shared" si="2"/>
        <v>108829.23337616556</v>
      </c>
    </row>
    <row r="44" spans="1:10" ht="15.75" thickBot="1">
      <c r="A44" s="107"/>
      <c r="B44" s="284"/>
      <c r="C44" s="108"/>
    </row>
    <row r="45" spans="1:10">
      <c r="A45" s="98"/>
      <c r="B45" s="421" t="s">
        <v>233</v>
      </c>
      <c r="C45" s="421"/>
    </row>
    <row r="46" spans="1:10">
      <c r="A46" s="99"/>
      <c r="B46" s="422" t="s">
        <v>234</v>
      </c>
      <c r="C46" s="422"/>
    </row>
    <row r="47" spans="1:10">
      <c r="A47" s="99"/>
      <c r="B47" s="285">
        <v>310</v>
      </c>
      <c r="C47" s="109" t="s">
        <v>235</v>
      </c>
      <c r="D47" s="310">
        <f>'PPA-Staff'!C27*'PPA-General'!C40</f>
        <v>2340</v>
      </c>
      <c r="E47" s="310">
        <f>'PPA-Staff'!D27*'PPA-General'!D40</f>
        <v>2386.8000000000002</v>
      </c>
      <c r="F47" s="310">
        <f>'PPA-Staff'!E27*'PPA-General'!E40</f>
        <v>2434.5360000000001</v>
      </c>
      <c r="G47" s="310">
        <f>'PPA-Staff'!F27*'PPA-General'!F40</f>
        <v>2483.2267200000001</v>
      </c>
      <c r="H47" s="310">
        <f>'PPA-Staff'!G27*'PPA-General'!G40</f>
        <v>2532.8912544</v>
      </c>
      <c r="I47" s="310">
        <f>'PPA-Staff'!H27*'PPA-General'!H40</f>
        <v>2583.5490794880002</v>
      </c>
      <c r="J47" s="310">
        <f>'PPA-Staff'!I27*'PPA-General'!I40</f>
        <v>2635.22006107776</v>
      </c>
    </row>
    <row r="48" spans="1:10">
      <c r="A48" s="99"/>
      <c r="B48" s="285">
        <v>330</v>
      </c>
      <c r="C48" s="109" t="s">
        <v>236</v>
      </c>
      <c r="D48" s="310">
        <f>'PPA-Staff'!C27*'PPA-General'!C41</f>
        <v>390</v>
      </c>
      <c r="E48" s="310">
        <f>'PPA-Staff'!D27*'PPA-General'!D41</f>
        <v>397.8</v>
      </c>
      <c r="F48" s="310">
        <f>'PPA-Staff'!E27*'PPA-General'!E41</f>
        <v>405.75599999999997</v>
      </c>
      <c r="G48" s="310">
        <f>'PPA-Staff'!F27*'PPA-General'!F41</f>
        <v>413.87111999999996</v>
      </c>
      <c r="H48" s="310">
        <f>'PPA-Staff'!G27*'PPA-General'!G41</f>
        <v>422.1485424</v>
      </c>
      <c r="I48" s="310">
        <f>'PPA-Staff'!H27*'PPA-General'!H41</f>
        <v>430.59151324800001</v>
      </c>
      <c r="J48" s="310">
        <f>'PPA-Staff'!I27*'PPA-General'!I41</f>
        <v>439.20334351296003</v>
      </c>
    </row>
    <row r="49" spans="1:10">
      <c r="A49" s="99"/>
      <c r="B49" s="285">
        <v>140</v>
      </c>
      <c r="C49" s="109" t="s">
        <v>219</v>
      </c>
      <c r="D49" s="310">
        <f>'PPA-Staff'!C27*'PPA-General'!C42</f>
        <v>0</v>
      </c>
      <c r="E49" s="310">
        <f>'PPA-Staff'!D27*'PPA-General'!D42</f>
        <v>780</v>
      </c>
      <c r="F49" s="310">
        <f>'PPA-Staff'!E27*'PPA-General'!E42</f>
        <v>795.6</v>
      </c>
      <c r="G49" s="310">
        <f>'PPA-Staff'!F27*'PPA-General'!F42</f>
        <v>811.51199999999994</v>
      </c>
      <c r="H49" s="310">
        <f>'PPA-Staff'!G27*'PPA-General'!G42</f>
        <v>827.74223999999992</v>
      </c>
      <c r="I49" s="310">
        <f>'PPA-Staff'!H27*'PPA-General'!H42</f>
        <v>844.29708479999999</v>
      </c>
      <c r="J49" s="310">
        <f>'PPA-Staff'!I27*'PPA-General'!I42</f>
        <v>861.18302649600002</v>
      </c>
    </row>
    <row r="50" spans="1:10">
      <c r="A50" s="99"/>
      <c r="B50" s="285">
        <v>510</v>
      </c>
      <c r="C50" s="109" t="s">
        <v>237</v>
      </c>
      <c r="D50" s="310">
        <f>'PPA-Staff'!C27*'PPA-General'!C43</f>
        <v>390</v>
      </c>
      <c r="E50" s="310">
        <f>'PPA-Staff'!D27*'PPA-General'!D43</f>
        <v>397.8</v>
      </c>
      <c r="F50" s="310">
        <f>'PPA-Staff'!E27*'PPA-General'!E43</f>
        <v>405.75599999999997</v>
      </c>
      <c r="G50" s="310">
        <f>'PPA-Staff'!F27*'PPA-General'!F43</f>
        <v>413.87111999999996</v>
      </c>
      <c r="H50" s="310">
        <f>'PPA-Staff'!G27*'PPA-General'!G43</f>
        <v>422.1485424</v>
      </c>
      <c r="I50" s="310">
        <f>'PPA-Staff'!H27*'PPA-General'!H43</f>
        <v>430.59151324800001</v>
      </c>
      <c r="J50" s="310">
        <f>'PPA-Staff'!I27*'PPA-General'!I43</f>
        <v>439.20334351296003</v>
      </c>
    </row>
    <row r="51" spans="1:10" ht="15.75" thickBot="1">
      <c r="A51" s="105"/>
      <c r="B51" s="286"/>
      <c r="C51" s="106" t="s">
        <v>238</v>
      </c>
      <c r="D51" s="314">
        <f>SUM(D47:D50)</f>
        <v>3120</v>
      </c>
      <c r="E51" s="314">
        <f t="shared" ref="E51:J51" si="3">SUM(E47:E50)</f>
        <v>3962.4000000000005</v>
      </c>
      <c r="F51" s="314">
        <f t="shared" si="3"/>
        <v>4041.6479999999997</v>
      </c>
      <c r="G51" s="314">
        <f t="shared" si="3"/>
        <v>4122.4809599999999</v>
      </c>
      <c r="H51" s="314">
        <f t="shared" si="3"/>
        <v>4204.9305791999996</v>
      </c>
      <c r="I51" s="314">
        <f t="shared" si="3"/>
        <v>4289.0291907840001</v>
      </c>
      <c r="J51" s="314">
        <f t="shared" si="3"/>
        <v>4374.8097745996802</v>
      </c>
    </row>
    <row r="52" spans="1:10">
      <c r="B52" s="278"/>
      <c r="C52" s="97"/>
      <c r="E52" s="306"/>
      <c r="F52" s="306"/>
      <c r="G52" s="306"/>
      <c r="H52" s="306"/>
      <c r="I52" s="306"/>
      <c r="J52" s="306"/>
    </row>
    <row r="53" spans="1:10" ht="18.75" thickBot="1">
      <c r="A53" s="110"/>
      <c r="B53" s="423" t="s">
        <v>239</v>
      </c>
      <c r="C53" s="423"/>
      <c r="E53" s="306"/>
      <c r="F53" s="306"/>
      <c r="G53" s="306"/>
      <c r="H53" s="306"/>
      <c r="I53" s="306"/>
      <c r="J53" s="306"/>
    </row>
    <row r="54" spans="1:10">
      <c r="A54" s="98"/>
      <c r="B54" s="419" t="s">
        <v>240</v>
      </c>
      <c r="C54" s="419"/>
      <c r="E54" s="306"/>
      <c r="F54" s="306"/>
      <c r="G54" s="306"/>
      <c r="H54" s="306"/>
      <c r="I54" s="306"/>
      <c r="J54" s="306"/>
    </row>
    <row r="55" spans="1:10">
      <c r="A55" s="99"/>
      <c r="B55" s="285">
        <v>310</v>
      </c>
      <c r="C55" s="109" t="s">
        <v>241</v>
      </c>
      <c r="D55" s="310">
        <f>'PPA-General'!C18</f>
        <v>6000</v>
      </c>
      <c r="E55" s="310">
        <f>'PPA-General'!D18</f>
        <v>6250</v>
      </c>
      <c r="F55" s="310">
        <f>'PPA-General'!E18</f>
        <v>6500</v>
      </c>
      <c r="G55" s="310">
        <f>'PPA-General'!F18</f>
        <v>6750</v>
      </c>
      <c r="H55" s="310">
        <f>'PPA-General'!G18</f>
        <v>7000</v>
      </c>
      <c r="I55" s="310">
        <f>'PPA-General'!H18</f>
        <v>7250</v>
      </c>
      <c r="J55" s="310">
        <f>'PPA-General'!I18</f>
        <v>7500</v>
      </c>
    </row>
    <row r="56" spans="1:10">
      <c r="A56" s="99"/>
      <c r="B56" s="285">
        <v>320</v>
      </c>
      <c r="C56" s="111" t="s">
        <v>242</v>
      </c>
      <c r="D56" s="310">
        <f>'PPA-General'!C33+Facilities!C153</f>
        <v>24658.791208791208</v>
      </c>
      <c r="E56" s="310">
        <f>'PPA-General'!D33+Facilities!D153</f>
        <v>29926.872340425532</v>
      </c>
      <c r="F56" s="310">
        <f>'PPA-General'!E33+Facilities!E153</f>
        <v>29049.141320754719</v>
      </c>
      <c r="G56" s="310">
        <f>'PPA-General'!F33+Facilities!F153</f>
        <v>29244.171232465545</v>
      </c>
      <c r="H56" s="310">
        <f>'PPA-General'!G33+Facilities!G153</f>
        <v>29201.559546847166</v>
      </c>
      <c r="I56" s="310">
        <f>'PPA-General'!H33+Facilities!H153</f>
        <v>29440.23679641699</v>
      </c>
      <c r="J56" s="310">
        <f>'PPA-General'!I33+Facilities!I153</f>
        <v>29930.061466547566</v>
      </c>
    </row>
    <row r="57" spans="1:10" ht="15.75" thickBot="1">
      <c r="A57" s="105"/>
      <c r="B57" s="287"/>
      <c r="C57" s="106" t="s">
        <v>243</v>
      </c>
      <c r="D57" s="314">
        <f>SUM(D55:D56)</f>
        <v>30658.791208791208</v>
      </c>
      <c r="E57" s="314">
        <f t="shared" ref="E57:J57" si="4">SUM(E55:E56)</f>
        <v>36176.872340425529</v>
      </c>
      <c r="F57" s="314">
        <f t="shared" si="4"/>
        <v>35549.141320754716</v>
      </c>
      <c r="G57" s="314">
        <f t="shared" si="4"/>
        <v>35994.171232465545</v>
      </c>
      <c r="H57" s="314">
        <f t="shared" si="4"/>
        <v>36201.559546847166</v>
      </c>
      <c r="I57" s="314">
        <f t="shared" si="4"/>
        <v>36690.23679641699</v>
      </c>
      <c r="J57" s="314">
        <f t="shared" si="4"/>
        <v>37430.061466547566</v>
      </c>
    </row>
    <row r="58" spans="1:10" ht="15.75" thickBot="1">
      <c r="A58" s="107"/>
      <c r="B58" s="288"/>
      <c r="C58" s="108"/>
      <c r="E58" s="306"/>
      <c r="F58" s="306"/>
      <c r="G58" s="306"/>
      <c r="H58" s="306"/>
      <c r="I58" s="306"/>
      <c r="J58" s="306"/>
    </row>
    <row r="59" spans="1:10">
      <c r="A59" s="98"/>
      <c r="B59" s="419" t="s">
        <v>244</v>
      </c>
      <c r="C59" s="419"/>
      <c r="E59" s="306"/>
      <c r="F59" s="306"/>
      <c r="G59" s="306"/>
      <c r="H59" s="306"/>
      <c r="I59" s="306"/>
      <c r="J59" s="306"/>
    </row>
    <row r="60" spans="1:10">
      <c r="A60" s="99"/>
      <c r="B60" s="285">
        <v>730</v>
      </c>
      <c r="C60" s="109" t="s">
        <v>245</v>
      </c>
      <c r="D60" s="310">
        <f>'Income Estimates'!C99</f>
        <v>73382.208333333343</v>
      </c>
      <c r="E60" s="310">
        <f>'Income Estimates'!D99</f>
        <v>73382.208333333343</v>
      </c>
      <c r="F60" s="310">
        <f>'Income Estimates'!E99</f>
        <v>74116.030416666676</v>
      </c>
      <c r="G60" s="310">
        <f>'Income Estimates'!F99</f>
        <v>74857.190720833343</v>
      </c>
      <c r="H60" s="310">
        <f>'Income Estimates'!G99</f>
        <v>75605.762628041688</v>
      </c>
      <c r="I60" s="310">
        <f>'Income Estimates'!H99</f>
        <v>76361.820254322098</v>
      </c>
      <c r="J60" s="310">
        <f>'Income Estimates'!I99</f>
        <v>77125.438456865319</v>
      </c>
    </row>
    <row r="61" spans="1:10" ht="15.75" thickBot="1">
      <c r="A61" s="105"/>
      <c r="B61" s="289"/>
      <c r="C61" s="112" t="s">
        <v>246</v>
      </c>
      <c r="D61" s="314">
        <f>D60</f>
        <v>73382.208333333343</v>
      </c>
      <c r="E61" s="314">
        <f t="shared" ref="E61:J61" si="5">E60</f>
        <v>73382.208333333343</v>
      </c>
      <c r="F61" s="314">
        <f t="shared" si="5"/>
        <v>74116.030416666676</v>
      </c>
      <c r="G61" s="314">
        <f t="shared" si="5"/>
        <v>74857.190720833343</v>
      </c>
      <c r="H61" s="314">
        <f t="shared" si="5"/>
        <v>75605.762628041688</v>
      </c>
      <c r="I61" s="314">
        <f t="shared" si="5"/>
        <v>76361.820254322098</v>
      </c>
      <c r="J61" s="314">
        <f t="shared" si="5"/>
        <v>77125.438456865319</v>
      </c>
    </row>
    <row r="62" spans="1:10" ht="15.75" thickBot="1">
      <c r="B62" s="290"/>
      <c r="C62" s="113"/>
      <c r="E62" s="306"/>
      <c r="F62" s="306"/>
      <c r="G62" s="306"/>
      <c r="H62" s="306"/>
      <c r="I62" s="306"/>
      <c r="J62" s="306"/>
    </row>
    <row r="63" spans="1:10">
      <c r="A63" s="98"/>
      <c r="B63" s="419" t="s">
        <v>247</v>
      </c>
      <c r="C63" s="419"/>
      <c r="E63" s="306"/>
      <c r="F63" s="306"/>
      <c r="G63" s="306"/>
      <c r="H63" s="306"/>
      <c r="I63" s="306"/>
      <c r="J63" s="306"/>
    </row>
    <row r="64" spans="1:10">
      <c r="A64" s="99"/>
      <c r="B64" s="281">
        <v>100</v>
      </c>
      <c r="C64" s="104" t="s">
        <v>216</v>
      </c>
      <c r="E64" s="306"/>
      <c r="F64" s="306"/>
      <c r="G64" s="306"/>
      <c r="H64" s="306"/>
      <c r="I64" s="306"/>
      <c r="J64" s="306"/>
    </row>
    <row r="65" spans="1:10">
      <c r="A65" s="99"/>
      <c r="B65" s="281">
        <v>110</v>
      </c>
      <c r="C65" s="104" t="s">
        <v>248</v>
      </c>
      <c r="D65" s="310">
        <f>+'PPA-Staff'!C120+SharedStaff!C125</f>
        <v>90648.750121457517</v>
      </c>
      <c r="E65" s="310">
        <f>+'PPA-Staff'!D120+SharedStaff!D125</f>
        <v>129515.52340942837</v>
      </c>
      <c r="F65" s="310">
        <f>+'PPA-Staff'!E120+SharedStaff!E125</f>
        <v>124165.83650851549</v>
      </c>
      <c r="G65" s="310">
        <f>+'PPA-Staff'!F120+SharedStaff!F125</f>
        <v>123586.17663507737</v>
      </c>
      <c r="H65" s="310">
        <f>+'PPA-Staff'!G120+SharedStaff!G125</f>
        <v>121933.37970646415</v>
      </c>
      <c r="I65" s="310">
        <f>+'PPA-Staff'!H120+SharedStaff!H125</f>
        <v>121498.84462386076</v>
      </c>
      <c r="J65" s="310">
        <f>+'PPA-Staff'!I120+SharedStaff!I125</f>
        <v>122133.30334252323</v>
      </c>
    </row>
    <row r="66" spans="1:10">
      <c r="A66" s="99"/>
      <c r="B66" s="281">
        <v>160</v>
      </c>
      <c r="C66" s="104" t="s">
        <v>249</v>
      </c>
      <c r="D66" s="310">
        <f>+'PPA-Staff'!C121+SharedStaff!C126</f>
        <v>93474.66</v>
      </c>
      <c r="E66" s="310">
        <f>+'PPA-Staff'!D121+SharedStaff!D126</f>
        <v>64838.714990588109</v>
      </c>
      <c r="F66" s="310">
        <f>+'PPA-Staff'!E121+SharedStaff!E126</f>
        <v>57871.105716020029</v>
      </c>
      <c r="G66" s="310">
        <f>+'PPA-Staff'!F121+SharedStaff!F126</f>
        <v>56678.773050347125</v>
      </c>
      <c r="H66" s="310">
        <f>+'PPA-Staff'!G121+SharedStaff!G126</f>
        <v>54187.147257571691</v>
      </c>
      <c r="I66" s="310">
        <f>+'PPA-Staff'!H121+SharedStaff!H126</f>
        <v>53170.523409700218</v>
      </c>
      <c r="J66" s="310">
        <f>+'PPA-Staff'!I121+SharedStaff!I126</f>
        <v>53448.176273458448</v>
      </c>
    </row>
    <row r="67" spans="1:10">
      <c r="A67" s="99"/>
      <c r="B67" s="281">
        <v>220</v>
      </c>
      <c r="C67" s="104" t="s">
        <v>65</v>
      </c>
      <c r="D67" s="310">
        <f>+'PPA-Staff'!C122+SharedStaff!C127</f>
        <v>14085.4408742915</v>
      </c>
      <c r="E67" s="310">
        <f>+'PPA-Staff'!D122+SharedStaff!D127</f>
        <v>14868.09923760126</v>
      </c>
      <c r="F67" s="310">
        <f>+'PPA-Staff'!E122+SharedStaff!E127</f>
        <v>13925.826080176967</v>
      </c>
      <c r="G67" s="310">
        <f>+'PPA-Staff'!F122+SharedStaff!F127</f>
        <v>13790.268650934973</v>
      </c>
      <c r="H67" s="310">
        <f>+'PPA-Staff'!G122+SharedStaff!G127</f>
        <v>13473.220312748743</v>
      </c>
      <c r="I67" s="310">
        <f>+'PPA-Staff'!H122+SharedStaff!H127</f>
        <v>13362.206654567413</v>
      </c>
      <c r="J67" s="310">
        <f>+'PPA-Staff'!I122+SharedStaff!I127</f>
        <v>13431.983190622597</v>
      </c>
    </row>
    <row r="68" spans="1:10">
      <c r="A68" s="99"/>
      <c r="B68" s="281">
        <v>240</v>
      </c>
      <c r="C68" s="104" t="s">
        <v>220</v>
      </c>
      <c r="D68" s="310">
        <f>+'PPA-Staff'!C123+SharedStaff!C128</f>
        <v>975.85407364372486</v>
      </c>
      <c r="E68" s="310">
        <f>+'PPA-Staff'!D123+SharedStaff!D128</f>
        <v>1030.0774635200873</v>
      </c>
      <c r="F68" s="310">
        <f>+'PPA-Staff'!E123+SharedStaff!E128</f>
        <v>964.79579379003826</v>
      </c>
      <c r="G68" s="310">
        <f>+'PPA-Staff'!F123+SharedStaff!F128</f>
        <v>955.40423333274998</v>
      </c>
      <c r="H68" s="310">
        <f>+'PPA-Staff'!G123+SharedStaff!G128</f>
        <v>933.43879290939003</v>
      </c>
      <c r="I68" s="310">
        <f>+'PPA-Staff'!H123+SharedStaff!H128</f>
        <v>925.74765057787317</v>
      </c>
      <c r="J68" s="310">
        <f>+'PPA-Staff'!I123+SharedStaff!I128</f>
        <v>930.58184196470279</v>
      </c>
    </row>
    <row r="69" spans="1:10">
      <c r="A69" s="99"/>
      <c r="B69" s="281">
        <v>250</v>
      </c>
      <c r="C69" s="104" t="s">
        <v>222</v>
      </c>
      <c r="D69" s="310">
        <f>+'PPA-Staff'!C124+SharedStaff!C129</f>
        <v>1587.6</v>
      </c>
      <c r="E69" s="310">
        <f>+'PPA-Staff'!D124+SharedStaff!D129</f>
        <v>1626.8936170212767</v>
      </c>
      <c r="F69" s="310">
        <f>+'PPA-Staff'!E124+SharedStaff!E129</f>
        <v>1491.6226415094338</v>
      </c>
      <c r="G69" s="310">
        <f>+'PPA-Staff'!F124+SharedStaff!F129</f>
        <v>1372.5344563552833</v>
      </c>
      <c r="H69" s="310">
        <f>+'PPA-Staff'!G124+SharedStaff!G129</f>
        <v>1236.3406113537117</v>
      </c>
      <c r="I69" s="310">
        <f>+'PPA-Staff'!H124+SharedStaff!H129</f>
        <v>1128.784090909091</v>
      </c>
      <c r="J69" s="310">
        <f>+'PPA-Staff'!I124+SharedStaff!I129</f>
        <v>1041.9545454545455</v>
      </c>
    </row>
    <row r="70" spans="1:10">
      <c r="A70" s="99"/>
      <c r="B70" s="281">
        <v>290</v>
      </c>
      <c r="C70" s="104" t="s">
        <v>221</v>
      </c>
      <c r="D70" s="310">
        <f>+'PPA-Staff'!C125+SharedStaff!C130</f>
        <v>28539.128568825916</v>
      </c>
      <c r="E70" s="310">
        <f>+'PPA-Staff'!D125+SharedStaff!D130</f>
        <v>30124.906952002559</v>
      </c>
      <c r="F70" s="310">
        <f>+'PPA-Staff'!E125+SharedStaff!E130</f>
        <v>28215.726044803007</v>
      </c>
      <c r="G70" s="310">
        <f>+'PPA-Staff'!F125+SharedStaff!F130</f>
        <v>27941.067201240799</v>
      </c>
      <c r="H70" s="310">
        <f>+'PPA-Staff'!G125+SharedStaff!G130</f>
        <v>27298.681679425557</v>
      </c>
      <c r="I70" s="310">
        <f>+'PPA-Staff'!H125+SharedStaff!H130</f>
        <v>27073.752045201953</v>
      </c>
      <c r="J70" s="310">
        <f>+'PPA-Staff'!I125+SharedStaff!I130</f>
        <v>27215.12934047716</v>
      </c>
    </row>
    <row r="71" spans="1:10">
      <c r="A71" s="99"/>
      <c r="B71" s="281">
        <v>310</v>
      </c>
      <c r="C71" s="104" t="s">
        <v>232</v>
      </c>
      <c r="D71" s="310">
        <f>'PPA-General'!C80</f>
        <v>4500</v>
      </c>
      <c r="E71" s="310">
        <f>'PPA-General'!D80</f>
        <v>4545</v>
      </c>
      <c r="F71" s="310">
        <f>'PPA-General'!E80</f>
        <v>4590.45</v>
      </c>
      <c r="G71" s="310">
        <f>'PPA-General'!F80</f>
        <v>4636.3544999999995</v>
      </c>
      <c r="H71" s="310">
        <f>'PPA-General'!G80</f>
        <v>4682.7180449999996</v>
      </c>
      <c r="I71" s="310">
        <f>'PPA-General'!H80</f>
        <v>4729.5452254499996</v>
      </c>
      <c r="J71" s="310">
        <f>'PPA-General'!I80</f>
        <v>4776.8406777044993</v>
      </c>
    </row>
    <row r="72" spans="1:10">
      <c r="A72" s="99"/>
      <c r="B72" s="281">
        <v>360</v>
      </c>
      <c r="C72" s="104" t="s">
        <v>250</v>
      </c>
      <c r="D72" s="310">
        <f>'PPA-General'!C61</f>
        <v>9586</v>
      </c>
      <c r="E72" s="310">
        <f>'PPA-General'!D61</f>
        <v>9586</v>
      </c>
      <c r="F72" s="310">
        <f>'PPA-General'!E61</f>
        <v>9586</v>
      </c>
      <c r="G72" s="310">
        <f>'PPA-General'!F61</f>
        <v>11548</v>
      </c>
      <c r="H72" s="310">
        <f>'PPA-General'!G61</f>
        <v>11548</v>
      </c>
      <c r="I72" s="310">
        <f>'PPA-General'!H61</f>
        <v>11548</v>
      </c>
      <c r="J72" s="310">
        <f>'PPA-General'!I61</f>
        <v>11548</v>
      </c>
    </row>
    <row r="73" spans="1:10">
      <c r="A73" s="99"/>
      <c r="B73" s="281">
        <v>370</v>
      </c>
      <c r="C73" s="104" t="s">
        <v>251</v>
      </c>
      <c r="D73" s="310">
        <f>'PPA-Staff'!C27*'PPA-General'!C70</f>
        <v>3120</v>
      </c>
      <c r="E73" s="310">
        <f>'PPA-Staff'!D27*'PPA-General'!D70</f>
        <v>3135.5999999999995</v>
      </c>
      <c r="F73" s="310">
        <f>'PPA-Staff'!E27*'PPA-General'!E70</f>
        <v>3151.2779999999998</v>
      </c>
      <c r="G73" s="310">
        <f>'PPA-Staff'!F27*'PPA-General'!F70</f>
        <v>3167.0343899999993</v>
      </c>
      <c r="H73" s="310">
        <f>'PPA-Staff'!G27*'PPA-General'!G70</f>
        <v>3182.8695619499995</v>
      </c>
      <c r="I73" s="310">
        <f>'PPA-Staff'!H27*'PPA-General'!H70</f>
        <v>3198.7839097597493</v>
      </c>
      <c r="J73" s="310">
        <f>'PPA-Staff'!I27*'PPA-General'!I70</f>
        <v>3214.7778293085485</v>
      </c>
    </row>
    <row r="74" spans="1:10">
      <c r="A74" s="99"/>
      <c r="B74" s="281">
        <v>390</v>
      </c>
      <c r="C74" s="104" t="s">
        <v>252</v>
      </c>
      <c r="D74" s="310">
        <f>'PPA-Staff'!C27*'PPA-General'!C71</f>
        <v>4290</v>
      </c>
      <c r="E74" s="310">
        <f>'PPA-Staff'!D27*'PPA-General'!D71</f>
        <v>4311.45</v>
      </c>
      <c r="F74" s="310">
        <f>'PPA-Staff'!E27*'PPA-General'!E71</f>
        <v>4333.0072499999997</v>
      </c>
      <c r="G74" s="310">
        <f>'PPA-Staff'!F27*'PPA-General'!F71</f>
        <v>4354.6722862500001</v>
      </c>
      <c r="H74" s="310">
        <f>'PPA-Staff'!G27*'PPA-General'!G71</f>
        <v>4376.4456476812502</v>
      </c>
      <c r="I74" s="310">
        <f>'PPA-Staff'!H27*'PPA-General'!H71</f>
        <v>4398.3278759196564</v>
      </c>
      <c r="J74" s="310">
        <f>'PPA-Staff'!I27*'PPA-General'!I71</f>
        <v>4420.3195152992548</v>
      </c>
    </row>
    <row r="75" spans="1:10">
      <c r="A75" s="99"/>
      <c r="B75" s="281">
        <v>510</v>
      </c>
      <c r="C75" s="104" t="s">
        <v>89</v>
      </c>
      <c r="D75" s="310">
        <f>'PPA-Staff'!C27*'PPA-General'!C72</f>
        <v>7800</v>
      </c>
      <c r="E75" s="310">
        <f>'PPA-Staff'!D27*'PPA-General'!D72</f>
        <v>7839.0000000000009</v>
      </c>
      <c r="F75" s="310">
        <f>'PPA-Staff'!E27*'PPA-General'!E72</f>
        <v>7878.1950000000006</v>
      </c>
      <c r="G75" s="310">
        <f>'PPA-Staff'!F27*'PPA-General'!F72</f>
        <v>7917.5859750000009</v>
      </c>
      <c r="H75" s="310">
        <f>'PPA-Staff'!G27*'PPA-General'!G72</f>
        <v>7957.1739048750005</v>
      </c>
      <c r="I75" s="310">
        <f>'PPA-Staff'!H27*'PPA-General'!H72</f>
        <v>7996.9597743993763</v>
      </c>
      <c r="J75" s="310">
        <f>'PPA-Staff'!I27*'PPA-General'!I72</f>
        <v>8036.944573271373</v>
      </c>
    </row>
    <row r="76" spans="1:10">
      <c r="A76" s="99"/>
      <c r="B76" s="285">
        <v>730</v>
      </c>
      <c r="C76" s="104" t="s">
        <v>228</v>
      </c>
      <c r="D76" s="310">
        <f>'PPA-Staff'!C27*'PPA-General'!C73</f>
        <v>3315</v>
      </c>
      <c r="E76" s="310">
        <f>'PPA-Staff'!D27*'PPA-General'!D73</f>
        <v>3331.5750000000003</v>
      </c>
      <c r="F76" s="310">
        <f>'PPA-Staff'!E27*'PPA-General'!E73</f>
        <v>3348.2328750000001</v>
      </c>
      <c r="G76" s="310">
        <f>'PPA-Staff'!F27*'PPA-General'!F73</f>
        <v>3364.9740393750003</v>
      </c>
      <c r="H76" s="310">
        <f>'PPA-Staff'!G27*'PPA-General'!G73</f>
        <v>3381.7989095718749</v>
      </c>
      <c r="I76" s="310">
        <f>'PPA-Staff'!H27*'PPA-General'!H73</f>
        <v>3398.7079041197344</v>
      </c>
      <c r="J76" s="310">
        <f>'PPA-Staff'!I27*'PPA-General'!I73</f>
        <v>3415.7014436403333</v>
      </c>
    </row>
    <row r="77" spans="1:10" ht="15.75" thickBot="1">
      <c r="A77" s="105"/>
      <c r="B77" s="286"/>
      <c r="C77" s="106" t="s">
        <v>253</v>
      </c>
      <c r="D77" s="314">
        <f t="shared" ref="D77:J77" si="6">SUM(D65:D76)</f>
        <v>261922.43363821867</v>
      </c>
      <c r="E77" s="314">
        <f t="shared" si="6"/>
        <v>274752.84067016165</v>
      </c>
      <c r="F77" s="314">
        <f t="shared" si="6"/>
        <v>259522.07590981497</v>
      </c>
      <c r="G77" s="314">
        <f t="shared" si="6"/>
        <v>259312.84541791328</v>
      </c>
      <c r="H77" s="314">
        <f t="shared" si="6"/>
        <v>254191.21442955136</v>
      </c>
      <c r="I77" s="314">
        <f t="shared" si="6"/>
        <v>252430.18316446585</v>
      </c>
      <c r="J77" s="314">
        <f t="shared" si="6"/>
        <v>253613.71257372474</v>
      </c>
    </row>
    <row r="78" spans="1:10" ht="15.75" thickBot="1">
      <c r="B78" s="278"/>
      <c r="C78" s="97"/>
      <c r="E78" s="306"/>
      <c r="F78" s="306"/>
      <c r="G78" s="306"/>
      <c r="H78" s="306"/>
      <c r="I78" s="306"/>
      <c r="J78" s="306"/>
    </row>
    <row r="79" spans="1:10">
      <c r="A79" s="98"/>
      <c r="B79" s="419" t="s">
        <v>254</v>
      </c>
      <c r="C79" s="419"/>
      <c r="E79" s="306"/>
      <c r="F79" s="306"/>
      <c r="G79" s="306"/>
      <c r="H79" s="306"/>
      <c r="I79" s="306"/>
      <c r="J79" s="306"/>
    </row>
    <row r="80" spans="1:10">
      <c r="A80" s="99"/>
      <c r="B80" s="281">
        <v>310</v>
      </c>
      <c r="C80" s="114" t="s">
        <v>255</v>
      </c>
      <c r="E80" s="306"/>
      <c r="F80" s="306"/>
      <c r="G80" s="306"/>
      <c r="H80" s="306"/>
      <c r="I80" s="306"/>
      <c r="J80" s="306"/>
    </row>
    <row r="81" spans="1:10">
      <c r="A81" s="99"/>
      <c r="B81" s="278"/>
      <c r="C81" s="104" t="s">
        <v>256</v>
      </c>
      <c r="D81" s="310">
        <f>'PPA-General'!C24</f>
        <v>11100</v>
      </c>
      <c r="E81" s="310">
        <f>'PPA-General'!D24</f>
        <v>11820</v>
      </c>
      <c r="F81" s="310">
        <f>'PPA-General'!E24</f>
        <v>12440</v>
      </c>
      <c r="G81" s="310">
        <f>'PPA-General'!F24</f>
        <v>13060</v>
      </c>
      <c r="H81" s="310">
        <f>'PPA-General'!G24</f>
        <v>13680</v>
      </c>
      <c r="I81" s="310">
        <f>'PPA-General'!H24</f>
        <v>14300</v>
      </c>
      <c r="J81" s="310">
        <f>'PPA-General'!I24</f>
        <v>14920</v>
      </c>
    </row>
    <row r="82" spans="1:10">
      <c r="A82" s="99"/>
      <c r="B82" s="281">
        <v>730</v>
      </c>
      <c r="C82" s="104" t="s">
        <v>257</v>
      </c>
      <c r="D82" s="315">
        <f>SharedStaff!C70*SUM(D17:D18,D20,D35,D65:D66,D99)</f>
        <v>31359.186261977957</v>
      </c>
      <c r="E82" s="315">
        <f>SharedStaff!D70*SUM(E17:E18,E20,E35,E65:E66,E99)</f>
        <v>32106.664202600838</v>
      </c>
      <c r="F82" s="315">
        <f>SharedStaff!E70*SUM(F17:F18,F20,F35,F65:F66,F99)</f>
        <v>32224.953237770158</v>
      </c>
      <c r="G82" s="315">
        <f>SharedStaff!F70*SUM(G17:G18,G20,G35,G65:G66,G99)</f>
        <v>32915.617485664246</v>
      </c>
      <c r="H82" s="315">
        <f>SharedStaff!G70*SUM(H17:H18,H20,H35,H65:H66,H99)</f>
        <v>33359.261400675823</v>
      </c>
      <c r="I82" s="315">
        <f>SharedStaff!H70*SUM(I17:I18,I20,I35,I65:I66,I99)</f>
        <v>33916.173553483801</v>
      </c>
      <c r="J82" s="315">
        <f>SharedStaff!I70*SUM(J17:J18,J20,J35,J65:J66,J99)</f>
        <v>34524.114950483628</v>
      </c>
    </row>
    <row r="83" spans="1:10" ht="15.75" thickBot="1">
      <c r="A83" s="105"/>
      <c r="B83" s="286"/>
      <c r="C83" s="106" t="s">
        <v>258</v>
      </c>
      <c r="D83" s="314">
        <f>SUM(D81:D82)</f>
        <v>42459.186261977957</v>
      </c>
      <c r="E83" s="314">
        <f t="shared" ref="E83:J83" si="7">SUM(E81:E82)</f>
        <v>43926.664202600834</v>
      </c>
      <c r="F83" s="314">
        <f t="shared" si="7"/>
        <v>44664.953237770154</v>
      </c>
      <c r="G83" s="314">
        <f t="shared" si="7"/>
        <v>45975.617485664246</v>
      </c>
      <c r="H83" s="314">
        <f t="shared" si="7"/>
        <v>47039.261400675823</v>
      </c>
      <c r="I83" s="314">
        <f t="shared" si="7"/>
        <v>48216.173553483801</v>
      </c>
      <c r="J83" s="314">
        <f t="shared" si="7"/>
        <v>49444.114950483628</v>
      </c>
    </row>
    <row r="84" spans="1:10" ht="15.75" thickBot="1">
      <c r="B84" s="278"/>
      <c r="C84" s="97"/>
      <c r="E84" s="306"/>
      <c r="F84" s="306"/>
      <c r="G84" s="306"/>
      <c r="H84" s="306"/>
      <c r="I84" s="306"/>
      <c r="J84" s="306"/>
    </row>
    <row r="85" spans="1:10">
      <c r="A85" s="98"/>
      <c r="B85" s="420" t="s">
        <v>259</v>
      </c>
      <c r="C85" s="420"/>
      <c r="E85" s="306"/>
      <c r="F85" s="306"/>
      <c r="G85" s="306"/>
      <c r="H85" s="306"/>
      <c r="I85" s="306"/>
      <c r="J85" s="306"/>
    </row>
    <row r="86" spans="1:10">
      <c r="A86" s="99"/>
      <c r="B86" s="285" t="s">
        <v>260</v>
      </c>
      <c r="C86" s="115" t="s">
        <v>261</v>
      </c>
      <c r="D86" s="310"/>
      <c r="E86" s="310"/>
      <c r="F86" s="310"/>
      <c r="G86" s="310"/>
      <c r="H86" s="310"/>
      <c r="I86" s="310"/>
      <c r="J86" s="310"/>
    </row>
    <row r="87" spans="1:10">
      <c r="A87" s="99"/>
      <c r="B87" s="281">
        <v>160</v>
      </c>
      <c r="C87" s="104" t="s">
        <v>35</v>
      </c>
      <c r="D87" s="310"/>
      <c r="E87" s="310"/>
      <c r="F87" s="310"/>
      <c r="G87" s="310"/>
      <c r="H87" s="310"/>
      <c r="I87" s="310"/>
      <c r="J87" s="310"/>
    </row>
    <row r="88" spans="1:10">
      <c r="A88" s="99"/>
      <c r="B88" s="281">
        <v>220</v>
      </c>
      <c r="C88" s="104" t="s">
        <v>65</v>
      </c>
      <c r="D88" s="310"/>
      <c r="E88" s="310"/>
      <c r="F88" s="310"/>
      <c r="G88" s="310"/>
      <c r="H88" s="310"/>
      <c r="I88" s="310"/>
      <c r="J88" s="310"/>
    </row>
    <row r="89" spans="1:10">
      <c r="A89" s="99"/>
      <c r="B89" s="281">
        <v>230</v>
      </c>
      <c r="C89" s="104" t="s">
        <v>221</v>
      </c>
      <c r="D89" s="310"/>
      <c r="E89" s="310"/>
      <c r="F89" s="310"/>
      <c r="G89" s="310"/>
      <c r="H89" s="310"/>
      <c r="I89" s="310"/>
      <c r="J89" s="310"/>
    </row>
    <row r="90" spans="1:10">
      <c r="A90" s="99"/>
      <c r="B90" s="281">
        <v>240</v>
      </c>
      <c r="C90" s="104" t="s">
        <v>220</v>
      </c>
      <c r="D90" s="310"/>
      <c r="E90" s="310"/>
      <c r="F90" s="310"/>
      <c r="G90" s="310"/>
      <c r="H90" s="310"/>
      <c r="I90" s="310"/>
      <c r="J90" s="310"/>
    </row>
    <row r="91" spans="1:10">
      <c r="A91" s="99"/>
      <c r="B91" s="281">
        <v>250</v>
      </c>
      <c r="C91" s="104" t="s">
        <v>222</v>
      </c>
      <c r="D91" s="310"/>
      <c r="E91" s="310"/>
      <c r="F91" s="310"/>
      <c r="G91" s="310"/>
      <c r="H91" s="310"/>
      <c r="I91" s="310"/>
      <c r="J91" s="310"/>
    </row>
    <row r="92" spans="1:10">
      <c r="A92" s="99"/>
      <c r="B92" s="281">
        <v>390</v>
      </c>
      <c r="C92" s="115" t="s">
        <v>252</v>
      </c>
      <c r="D92" s="310"/>
      <c r="E92" s="310"/>
      <c r="F92" s="310"/>
      <c r="G92" s="310"/>
      <c r="H92" s="310"/>
      <c r="I92" s="310"/>
      <c r="J92" s="310"/>
    </row>
    <row r="93" spans="1:10">
      <c r="A93" s="99"/>
      <c r="B93" s="281">
        <v>570</v>
      </c>
      <c r="C93" s="115" t="s">
        <v>262</v>
      </c>
      <c r="D93" s="310"/>
      <c r="E93" s="310"/>
      <c r="F93" s="310"/>
      <c r="G93" s="310"/>
      <c r="H93" s="310"/>
      <c r="I93" s="310"/>
      <c r="J93" s="310"/>
    </row>
    <row r="94" spans="1:10">
      <c r="A94" s="99"/>
      <c r="B94" s="281">
        <v>641</v>
      </c>
      <c r="C94" s="115" t="s">
        <v>263</v>
      </c>
      <c r="D94" s="310"/>
      <c r="E94" s="310"/>
      <c r="F94" s="310"/>
      <c r="G94" s="310"/>
      <c r="H94" s="310"/>
      <c r="I94" s="310"/>
      <c r="J94" s="310"/>
    </row>
    <row r="95" spans="1:10">
      <c r="A95" s="99"/>
      <c r="B95" s="281">
        <v>730</v>
      </c>
      <c r="C95" s="115" t="s">
        <v>264</v>
      </c>
      <c r="D95" s="310"/>
      <c r="E95" s="310"/>
      <c r="F95" s="310"/>
      <c r="G95" s="310"/>
      <c r="H95" s="310"/>
      <c r="I95" s="310"/>
      <c r="J95" s="310"/>
    </row>
    <row r="96" spans="1:10" ht="15.75" thickBot="1">
      <c r="A96" s="105"/>
      <c r="B96" s="286"/>
      <c r="C96" s="116" t="s">
        <v>265</v>
      </c>
      <c r="D96" s="314">
        <f>SUM(D86:D95)</f>
        <v>0</v>
      </c>
      <c r="E96" s="314">
        <f t="shared" ref="E96:J96" si="8">SUM(E86:E95)</f>
        <v>0</v>
      </c>
      <c r="F96" s="314">
        <f t="shared" si="8"/>
        <v>0</v>
      </c>
      <c r="G96" s="314">
        <f t="shared" si="8"/>
        <v>0</v>
      </c>
      <c r="H96" s="314">
        <f t="shared" si="8"/>
        <v>0</v>
      </c>
      <c r="I96" s="314">
        <f t="shared" si="8"/>
        <v>0</v>
      </c>
      <c r="J96" s="314">
        <f t="shared" si="8"/>
        <v>0</v>
      </c>
    </row>
    <row r="97" spans="1:10" ht="15.75" thickBot="1">
      <c r="B97" s="278"/>
      <c r="C97" s="97"/>
      <c r="E97" s="306"/>
      <c r="F97" s="306"/>
      <c r="G97" s="306"/>
      <c r="H97" s="306"/>
      <c r="I97" s="306"/>
      <c r="J97" s="306"/>
    </row>
    <row r="98" spans="1:10">
      <c r="A98" s="98"/>
      <c r="B98" s="419" t="s">
        <v>266</v>
      </c>
      <c r="C98" s="419"/>
      <c r="E98" s="306"/>
      <c r="F98" s="306"/>
      <c r="G98" s="306"/>
      <c r="H98" s="306"/>
      <c r="I98" s="306"/>
      <c r="J98" s="306"/>
    </row>
    <row r="99" spans="1:10">
      <c r="A99" s="99"/>
      <c r="B99" s="280">
        <v>160</v>
      </c>
      <c r="C99" s="100" t="s">
        <v>267</v>
      </c>
      <c r="D99" s="316">
        <f>Facilities!C100</f>
        <v>43781.649999999994</v>
      </c>
      <c r="E99" s="316">
        <f>Facilities!D100</f>
        <v>48677.423942941117</v>
      </c>
      <c r="F99" s="316">
        <f>Facilities!E100</f>
        <v>44087.982073316438</v>
      </c>
      <c r="G99" s="316">
        <f>Facilities!F100</f>
        <v>43800.453125034583</v>
      </c>
      <c r="H99" s="316">
        <f>Facilities!G100</f>
        <v>42505.948211324052</v>
      </c>
      <c r="I99" s="316">
        <f>Facilities!H100</f>
        <v>42365.911666566302</v>
      </c>
      <c r="J99" s="316">
        <f>Facilities!I100</f>
        <v>43210.775687085268</v>
      </c>
    </row>
    <row r="100" spans="1:10">
      <c r="A100" s="99"/>
      <c r="B100" s="281">
        <v>220</v>
      </c>
      <c r="C100" s="104" t="s">
        <v>65</v>
      </c>
      <c r="D100" s="316">
        <f>Facilities!C101</f>
        <v>3349.2962249999996</v>
      </c>
      <c r="E100" s="316">
        <f>Facilities!D101</f>
        <v>3723.8229316349953</v>
      </c>
      <c r="F100" s="316">
        <f>Facilities!E101</f>
        <v>3372.7306286087073</v>
      </c>
      <c r="G100" s="316">
        <f>Facilities!F101</f>
        <v>3350.7346640651458</v>
      </c>
      <c r="H100" s="316">
        <f>Facilities!G101</f>
        <v>3251.7050381662898</v>
      </c>
      <c r="I100" s="316">
        <f>Facilities!H101</f>
        <v>3240.992242492322</v>
      </c>
      <c r="J100" s="316">
        <f>Facilities!I101</f>
        <v>3305.6243400620233</v>
      </c>
    </row>
    <row r="101" spans="1:10">
      <c r="A101" s="99"/>
      <c r="B101" s="281">
        <v>240</v>
      </c>
      <c r="C101" s="104" t="s">
        <v>220</v>
      </c>
      <c r="D101" s="316">
        <f>Facilities!C102</f>
        <v>1965.7960849999999</v>
      </c>
      <c r="E101" s="316">
        <f>Facilities!D102</f>
        <v>2185.6163350380566</v>
      </c>
      <c r="F101" s="316">
        <f>Facilities!E102</f>
        <v>1979.5503950919083</v>
      </c>
      <c r="G101" s="316">
        <f>Facilities!F102</f>
        <v>1966.6403453140529</v>
      </c>
      <c r="H101" s="316">
        <f>Facilities!G102</f>
        <v>1908.5170746884494</v>
      </c>
      <c r="I101" s="316">
        <f>Facilities!H102</f>
        <v>1902.2294338288273</v>
      </c>
      <c r="J101" s="316">
        <f>Facilities!I102</f>
        <v>1940.1638283501286</v>
      </c>
    </row>
    <row r="102" spans="1:10">
      <c r="A102" s="99"/>
      <c r="B102" s="281">
        <v>250</v>
      </c>
      <c r="C102" s="104" t="s">
        <v>222</v>
      </c>
      <c r="D102" s="316">
        <f>Facilities!C103</f>
        <v>756</v>
      </c>
      <c r="E102" s="316">
        <f>Facilities!D103</f>
        <v>1194.587281438909</v>
      </c>
      <c r="F102" s="316">
        <f>Facilities!E103</f>
        <v>1059.6226415094338</v>
      </c>
      <c r="G102" s="316">
        <f>Facilities!F103</f>
        <v>967.53445635528328</v>
      </c>
      <c r="H102" s="316">
        <f>Facilities!G103</f>
        <v>858.34061135371178</v>
      </c>
      <c r="I102" s="316">
        <f>Facilities!H103</f>
        <v>777.78409090909088</v>
      </c>
      <c r="J102" s="316">
        <f>Facilities!I103</f>
        <v>717.95454545454538</v>
      </c>
    </row>
    <row r="103" spans="1:10">
      <c r="A103" s="99"/>
      <c r="B103" s="281">
        <v>290</v>
      </c>
      <c r="C103" s="104" t="s">
        <v>221</v>
      </c>
      <c r="D103" s="316">
        <f>Facilities!C104</f>
        <v>6786.155749999999</v>
      </c>
      <c r="E103" s="316">
        <f>Facilities!D104</f>
        <v>7545.0007111558734</v>
      </c>
      <c r="F103" s="316">
        <f>Facilities!E104</f>
        <v>6833.6372213640479</v>
      </c>
      <c r="G103" s="316">
        <f>Facilities!F104</f>
        <v>6789.0702343803614</v>
      </c>
      <c r="H103" s="316">
        <f>Facilities!G104</f>
        <v>6588.4219727552272</v>
      </c>
      <c r="I103" s="316">
        <f>Facilities!H104</f>
        <v>6566.7163083177775</v>
      </c>
      <c r="J103" s="316">
        <f>Facilities!I104</f>
        <v>6697.6702314982167</v>
      </c>
    </row>
    <row r="104" spans="1:10">
      <c r="A104" s="99"/>
      <c r="B104" s="291">
        <v>350</v>
      </c>
      <c r="C104" s="117" t="s">
        <v>83</v>
      </c>
      <c r="D104" s="310">
        <f>Facilities!C137</f>
        <v>5000</v>
      </c>
      <c r="E104" s="310">
        <f>Facilities!D137</f>
        <v>3492.0212765957449</v>
      </c>
      <c r="F104" s="310">
        <f>Facilities!E137</f>
        <v>3127.6650943396226</v>
      </c>
      <c r="G104" s="310">
        <f>Facilities!F137</f>
        <v>3076.7028330781009</v>
      </c>
      <c r="H104" s="310">
        <f>Facilities!G137</f>
        <v>2953.6795043668121</v>
      </c>
      <c r="I104" s="310">
        <f>Facilities!H137</f>
        <v>2911.1784058167614</v>
      </c>
      <c r="J104" s="310">
        <f>Facilities!I137</f>
        <v>2940.2901898749287</v>
      </c>
    </row>
    <row r="105" spans="1:10">
      <c r="A105" s="99"/>
      <c r="B105" s="291">
        <v>360</v>
      </c>
      <c r="C105" s="117" t="s">
        <v>362</v>
      </c>
      <c r="D105" s="310">
        <f>Facilities!C138</f>
        <v>423192.64333333343</v>
      </c>
      <c r="E105" s="310">
        <f>Facilities!D138</f>
        <v>330753.5676595745</v>
      </c>
      <c r="F105" s="310">
        <f>Facilities!E138</f>
        <v>347710.17822110042</v>
      </c>
      <c r="G105" s="310">
        <f>Facilities!F138</f>
        <v>404474.42421544826</v>
      </c>
      <c r="H105" s="310">
        <f>Facilities!G138</f>
        <v>384456.76712181623</v>
      </c>
      <c r="I105" s="310">
        <f>Facilities!H138</f>
        <v>375173.00996120414</v>
      </c>
      <c r="J105" s="310">
        <f>Facilities!I138</f>
        <v>375173.00996120414</v>
      </c>
    </row>
    <row r="106" spans="1:10">
      <c r="A106" s="99"/>
      <c r="B106" s="291"/>
      <c r="C106" s="117" t="s">
        <v>369</v>
      </c>
      <c r="D106" s="310">
        <f>Facilities!C139</f>
        <v>0</v>
      </c>
      <c r="E106" s="310">
        <f>Facilities!D139</f>
        <v>0</v>
      </c>
      <c r="F106" s="310">
        <f>Facilities!E139</f>
        <v>0</v>
      </c>
      <c r="G106" s="310">
        <f>Facilities!F139</f>
        <v>0</v>
      </c>
      <c r="H106" s="310">
        <f>Facilities!G139</f>
        <v>0</v>
      </c>
      <c r="I106" s="310">
        <f>Facilities!H139</f>
        <v>0</v>
      </c>
      <c r="J106" s="310">
        <f>Facilities!I139</f>
        <v>0</v>
      </c>
    </row>
    <row r="107" spans="1:10">
      <c r="A107" s="99"/>
      <c r="B107" s="291"/>
      <c r="C107" s="117" t="s">
        <v>268</v>
      </c>
      <c r="D107" s="310">
        <f>Facilities!C140</f>
        <v>0</v>
      </c>
      <c r="E107" s="310">
        <f>Facilities!D140</f>
        <v>0</v>
      </c>
      <c r="F107" s="310">
        <f>Facilities!E140</f>
        <v>0</v>
      </c>
      <c r="G107" s="310">
        <f>Facilities!F140</f>
        <v>0</v>
      </c>
      <c r="H107" s="310">
        <f>Facilities!G140</f>
        <v>0</v>
      </c>
      <c r="I107" s="310">
        <f>Facilities!H140</f>
        <v>0</v>
      </c>
      <c r="J107" s="310">
        <f>Facilities!I140</f>
        <v>0</v>
      </c>
    </row>
    <row r="108" spans="1:10">
      <c r="A108" s="99"/>
      <c r="B108" s="291"/>
      <c r="C108" s="117" t="s">
        <v>269</v>
      </c>
      <c r="D108" s="310">
        <f>Facilities!C141</f>
        <v>37247</v>
      </c>
      <c r="E108" s="310">
        <f>Facilities!D141</f>
        <v>37247</v>
      </c>
      <c r="F108" s="310">
        <f>Facilities!E141</f>
        <v>37247</v>
      </c>
      <c r="G108" s="310">
        <f>Facilities!F141</f>
        <v>37247</v>
      </c>
      <c r="H108" s="310">
        <f>Facilities!G141</f>
        <v>37247</v>
      </c>
      <c r="I108" s="310">
        <f>Facilities!H141</f>
        <v>0</v>
      </c>
      <c r="J108" s="310">
        <f>Facilities!I141</f>
        <v>0</v>
      </c>
    </row>
    <row r="109" spans="1:10">
      <c r="A109" s="99"/>
      <c r="B109" s="291"/>
      <c r="C109" s="117" t="s">
        <v>270</v>
      </c>
      <c r="D109" s="310">
        <f>Facilities!C142</f>
        <v>0</v>
      </c>
      <c r="E109" s="310">
        <f>Facilities!D142</f>
        <v>0</v>
      </c>
      <c r="F109" s="310">
        <f>Facilities!E142</f>
        <v>0</v>
      </c>
      <c r="G109" s="310">
        <f>Facilities!F142</f>
        <v>0</v>
      </c>
      <c r="H109" s="310">
        <f>Facilities!G142</f>
        <v>0</v>
      </c>
      <c r="I109" s="310">
        <f>Facilities!H142</f>
        <v>0</v>
      </c>
      <c r="J109" s="310">
        <f>Facilities!I142</f>
        <v>0</v>
      </c>
    </row>
    <row r="110" spans="1:10">
      <c r="A110" s="99"/>
      <c r="B110" s="291">
        <v>370</v>
      </c>
      <c r="C110" s="117" t="s">
        <v>251</v>
      </c>
      <c r="D110" s="310">
        <f>'PPA-Staff'!C27*'PPA-General'!C74</f>
        <v>7410</v>
      </c>
      <c r="E110" s="310">
        <f>'PPA-Staff'!D27*'PPA-General'!D74</f>
        <v>7447.0499999999993</v>
      </c>
      <c r="F110" s="310">
        <f>'PPA-Staff'!E27*'PPA-General'!E74</f>
        <v>7484.2852499999999</v>
      </c>
      <c r="G110" s="310">
        <f>'PPA-Staff'!F27*'PPA-General'!F74</f>
        <v>7521.7066762499999</v>
      </c>
      <c r="H110" s="310">
        <f>'PPA-Staff'!G27*'PPA-General'!G74</f>
        <v>7559.3152096312488</v>
      </c>
      <c r="I110" s="310">
        <f>'PPA-Staff'!H27*'PPA-General'!H74</f>
        <v>7597.1117856794053</v>
      </c>
      <c r="J110" s="310">
        <f>'PPA-Staff'!I27*'PPA-General'!I74</f>
        <v>7635.0973446078024</v>
      </c>
    </row>
    <row r="111" spans="1:10">
      <c r="A111" s="99"/>
      <c r="B111" s="291">
        <v>380</v>
      </c>
      <c r="C111" s="145" t="s">
        <v>370</v>
      </c>
      <c r="D111" s="310">
        <f>Facilities!C151</f>
        <v>4341.0576923076924</v>
      </c>
      <c r="E111" s="310">
        <f>Facilities!D151</f>
        <v>7406.5771276595742</v>
      </c>
      <c r="F111" s="310">
        <f>Facilities!E151</f>
        <v>6633.7776650943397</v>
      </c>
      <c r="G111" s="310">
        <f>Facilities!F151</f>
        <v>6525.6867089586522</v>
      </c>
      <c r="H111" s="310">
        <f>Facilities!G151</f>
        <v>6264.7542287620081</v>
      </c>
      <c r="I111" s="310">
        <f>Facilities!H151</f>
        <v>6174.6093987373506</v>
      </c>
      <c r="J111" s="310">
        <f>Facilities!I151</f>
        <v>6236.3554927247233</v>
      </c>
    </row>
    <row r="112" spans="1:10">
      <c r="A112" s="99"/>
      <c r="B112" s="292">
        <v>390</v>
      </c>
      <c r="C112" s="118" t="s">
        <v>271</v>
      </c>
      <c r="D112" s="310"/>
      <c r="E112" s="310"/>
      <c r="F112" s="310"/>
      <c r="G112" s="310"/>
      <c r="H112" s="310"/>
      <c r="I112" s="310"/>
      <c r="J112" s="310"/>
    </row>
    <row r="113" spans="1:10">
      <c r="A113" s="99"/>
      <c r="B113" s="288"/>
      <c r="C113" s="119" t="s">
        <v>272</v>
      </c>
      <c r="D113" s="310">
        <f>Facilities!C143</f>
        <v>500</v>
      </c>
      <c r="E113" s="310">
        <f>Facilities!D143</f>
        <v>349.2021276595745</v>
      </c>
      <c r="F113" s="310">
        <f>Facilities!E143</f>
        <v>312.76650943396226</v>
      </c>
      <c r="G113" s="310">
        <f>Facilities!F143</f>
        <v>307.67028330781005</v>
      </c>
      <c r="H113" s="310">
        <f>Facilities!G143</f>
        <v>295.36795043668121</v>
      </c>
      <c r="I113" s="310">
        <f>Facilities!H143</f>
        <v>291.11784058167609</v>
      </c>
      <c r="J113" s="310">
        <f>Facilities!I143</f>
        <v>294.02901898749286</v>
      </c>
    </row>
    <row r="114" spans="1:10">
      <c r="A114" s="99"/>
      <c r="B114" s="288"/>
      <c r="C114" s="119" t="s">
        <v>273</v>
      </c>
      <c r="D114" s="310">
        <f>Facilities!C144</f>
        <v>1000</v>
      </c>
      <c r="E114" s="310">
        <f>Facilities!D144</f>
        <v>698.404255319149</v>
      </c>
      <c r="F114" s="310">
        <f>Facilities!E144</f>
        <v>625.53301886792451</v>
      </c>
      <c r="G114" s="310">
        <f>Facilities!F144</f>
        <v>615.34056661562011</v>
      </c>
      <c r="H114" s="310">
        <f>Facilities!G144</f>
        <v>590.73590087336243</v>
      </c>
      <c r="I114" s="310">
        <f>Facilities!H144</f>
        <v>582.23568116335218</v>
      </c>
      <c r="J114" s="310">
        <f>Facilities!I144</f>
        <v>588.05803797498572</v>
      </c>
    </row>
    <row r="115" spans="1:10">
      <c r="A115" s="99"/>
      <c r="B115" s="288"/>
      <c r="C115" s="119" t="s">
        <v>274</v>
      </c>
      <c r="D115" s="310">
        <f>Facilities!C145</f>
        <v>2500</v>
      </c>
      <c r="E115" s="310">
        <f>Facilities!D145</f>
        <v>1746.0106382978724</v>
      </c>
      <c r="F115" s="310">
        <f>Facilities!E145</f>
        <v>1563.8325471698113</v>
      </c>
      <c r="G115" s="310">
        <f>Facilities!F145</f>
        <v>1538.3514165390504</v>
      </c>
      <c r="H115" s="310">
        <f>Facilities!G145</f>
        <v>1476.8397521834061</v>
      </c>
      <c r="I115" s="310">
        <f>Facilities!H145</f>
        <v>1455.5892029083807</v>
      </c>
      <c r="J115" s="310">
        <f>Facilities!I145</f>
        <v>1470.1450949374644</v>
      </c>
    </row>
    <row r="116" spans="1:10">
      <c r="A116" s="99"/>
      <c r="B116" s="288"/>
      <c r="C116" s="119" t="s">
        <v>275</v>
      </c>
      <c r="D116" s="310">
        <f>Facilities!C146</f>
        <v>10570.054945054944</v>
      </c>
      <c r="E116" s="310">
        <f>Facilities!D146</f>
        <v>10476.063829787236</v>
      </c>
      <c r="F116" s="310">
        <f>Facilities!E146</f>
        <v>9382.9952830188668</v>
      </c>
      <c r="G116" s="310">
        <f>Facilities!F146</f>
        <v>9230.1084992343021</v>
      </c>
      <c r="H116" s="310">
        <f>Facilities!G146</f>
        <v>8861.0385131004368</v>
      </c>
      <c r="I116" s="310">
        <f>Facilities!H146</f>
        <v>8733.5352174502841</v>
      </c>
      <c r="J116" s="310">
        <f>Facilities!I146</f>
        <v>8820.8705696247871</v>
      </c>
    </row>
    <row r="117" spans="1:10">
      <c r="A117" s="99"/>
      <c r="B117" s="288"/>
      <c r="C117" s="119" t="s">
        <v>276</v>
      </c>
      <c r="D117" s="310">
        <f>Facilities!C147</f>
        <v>264</v>
      </c>
      <c r="E117" s="310">
        <f>Facilities!D147</f>
        <v>184.37872340425531</v>
      </c>
      <c r="F117" s="310">
        <f>Facilities!E147</f>
        <v>165.14071698113207</v>
      </c>
      <c r="G117" s="310">
        <f>Facilities!F147</f>
        <v>162.44990958652372</v>
      </c>
      <c r="H117" s="310">
        <f>Facilities!G147</f>
        <v>155.95427783056766</v>
      </c>
      <c r="I117" s="310">
        <f>Facilities!H147</f>
        <v>153.71021982712497</v>
      </c>
      <c r="J117" s="310">
        <f>Facilities!I147</f>
        <v>155.24732202539622</v>
      </c>
    </row>
    <row r="118" spans="1:10">
      <c r="A118" s="99"/>
      <c r="B118" s="288"/>
      <c r="C118" s="119" t="s">
        <v>277</v>
      </c>
      <c r="D118" s="310">
        <f>Facilities!C148</f>
        <v>2250</v>
      </c>
      <c r="E118" s="310">
        <f>Facilities!D148</f>
        <v>1571.4095744680853</v>
      </c>
      <c r="F118" s="310">
        <f>Facilities!E148</f>
        <v>1407.4492924528302</v>
      </c>
      <c r="G118" s="310">
        <f>Facilities!F148</f>
        <v>1384.5162748851453</v>
      </c>
      <c r="H118" s="310">
        <f>Facilities!G148</f>
        <v>1329.1557769650653</v>
      </c>
      <c r="I118" s="310">
        <f>Facilities!H148</f>
        <v>1310.0302826175425</v>
      </c>
      <c r="J118" s="310">
        <f>Facilities!I148</f>
        <v>1323.1305854437178</v>
      </c>
    </row>
    <row r="119" spans="1:10">
      <c r="A119" s="99"/>
      <c r="B119" s="288"/>
      <c r="C119" s="119" t="s">
        <v>371</v>
      </c>
      <c r="D119" s="310">
        <f>Facilities!C152</f>
        <v>4137.2060439560437</v>
      </c>
      <c r="E119" s="310">
        <f>Facilities!D152</f>
        <v>7058.7718085106389</v>
      </c>
      <c r="F119" s="310">
        <f>Facilities!E152</f>
        <v>6322.2622216981126</v>
      </c>
      <c r="G119" s="310">
        <f>Facilities!F152</f>
        <v>6219.2471067840734</v>
      </c>
      <c r="H119" s="310">
        <f>Facilities!G152</f>
        <v>5970.5677501270739</v>
      </c>
      <c r="I119" s="310">
        <f>Facilities!H152</f>
        <v>5884.6560295180007</v>
      </c>
      <c r="J119" s="310">
        <f>Facilities!I152</f>
        <v>5943.5025898131807</v>
      </c>
    </row>
    <row r="120" spans="1:10">
      <c r="A120" s="99"/>
      <c r="B120" s="292">
        <v>430</v>
      </c>
      <c r="C120" s="120" t="s">
        <v>278</v>
      </c>
      <c r="D120" s="310">
        <f>Facilities!C149</f>
        <v>41362.1</v>
      </c>
      <c r="E120" s="310">
        <f>Facilities!D149</f>
        <v>29261.485638297876</v>
      </c>
      <c r="F120" s="310">
        <f>Facilities!E149</f>
        <v>26534.177358490568</v>
      </c>
      <c r="G120" s="310">
        <f>Facilities!F149</f>
        <v>26603.49464012251</v>
      </c>
      <c r="H120" s="310">
        <f>Facilities!G149</f>
        <v>25828.734934497814</v>
      </c>
      <c r="I120" s="310">
        <f>Facilities!H149</f>
        <v>25910.065482954542</v>
      </c>
      <c r="J120" s="310">
        <f>Facilities!I149</f>
        <v>26615.101278409089</v>
      </c>
    </row>
    <row r="121" spans="1:10">
      <c r="A121" s="99"/>
      <c r="B121" s="292">
        <v>510</v>
      </c>
      <c r="C121" s="120" t="s">
        <v>92</v>
      </c>
      <c r="D121" s="310">
        <f>'PPA-Staff'!C27*'PPA-General'!C75</f>
        <v>12090</v>
      </c>
      <c r="E121" s="310">
        <f>'PPA-Staff'!D27*'PPA-General'!D75</f>
        <v>12150.45</v>
      </c>
      <c r="F121" s="310">
        <f>'PPA-Staff'!E27*'PPA-General'!E75</f>
        <v>12211.20225</v>
      </c>
      <c r="G121" s="310">
        <f>'PPA-Staff'!F27*'PPA-General'!F75</f>
        <v>12272.258261249999</v>
      </c>
      <c r="H121" s="310">
        <f>'PPA-Staff'!G27*'PPA-General'!G75</f>
        <v>12333.619552556251</v>
      </c>
      <c r="I121" s="310">
        <f>'PPA-Staff'!H27*'PPA-General'!H75</f>
        <v>12395.287650319031</v>
      </c>
      <c r="J121" s="310">
        <f>'PPA-Staff'!I27*'PPA-General'!I75</f>
        <v>12457.264088570628</v>
      </c>
    </row>
    <row r="122" spans="1:10">
      <c r="A122" s="99"/>
      <c r="B122" s="292">
        <v>642</v>
      </c>
      <c r="C122" s="120" t="s">
        <v>91</v>
      </c>
      <c r="D122" s="310">
        <f>'PPA-Staff'!C27*'PPA-General'!C76</f>
        <v>1560</v>
      </c>
      <c r="E122" s="310">
        <f>'PPA-Staff'!D27*'PPA-General'!D76</f>
        <v>1567.7999999999997</v>
      </c>
      <c r="F122" s="310">
        <f>'PPA-Staff'!E27*'PPA-General'!E76</f>
        <v>1575.6389999999999</v>
      </c>
      <c r="G122" s="310">
        <f>'PPA-Staff'!F27*'PPA-General'!F76</f>
        <v>1583.5171949999997</v>
      </c>
      <c r="H122" s="310">
        <f>'PPA-Staff'!G27*'PPA-General'!G76</f>
        <v>1591.4347809749997</v>
      </c>
      <c r="I122" s="310">
        <f>'PPA-Staff'!H27*'PPA-General'!H76</f>
        <v>1599.3919548798747</v>
      </c>
      <c r="J122" s="310">
        <f>'PPA-Staff'!I27*'PPA-General'!I76</f>
        <v>1607.3889146542742</v>
      </c>
    </row>
    <row r="123" spans="1:10">
      <c r="A123" s="99"/>
      <c r="B123" s="292">
        <v>680</v>
      </c>
      <c r="C123" s="117" t="s">
        <v>84</v>
      </c>
      <c r="D123" s="310">
        <f>Facilities!C150</f>
        <v>14000</v>
      </c>
      <c r="E123" s="310">
        <f>Facilities!D150</f>
        <v>9777.6595744680853</v>
      </c>
      <c r="F123" s="310">
        <f>Facilities!E150</f>
        <v>8757.4622641509432</v>
      </c>
      <c r="G123" s="310">
        <f>Facilities!F150</f>
        <v>8614.7679326186826</v>
      </c>
      <c r="H123" s="310">
        <f>Facilities!G150</f>
        <v>8270.3026122270749</v>
      </c>
      <c r="I123" s="310">
        <f>Facilities!H150</f>
        <v>8151.2995362869315</v>
      </c>
      <c r="J123" s="310">
        <f>Facilities!I150</f>
        <v>8232.8125316498008</v>
      </c>
    </row>
    <row r="124" spans="1:10" ht="15.75" thickBot="1">
      <c r="A124" s="105"/>
      <c r="B124" s="287"/>
      <c r="C124" s="121" t="s">
        <v>279</v>
      </c>
      <c r="D124" s="314">
        <f>SUM(D99:D123)</f>
        <v>624062.96007465199</v>
      </c>
      <c r="E124" s="314">
        <f t="shared" ref="E124:J124" si="9">SUM(E99:E123)</f>
        <v>524514.30343625159</v>
      </c>
      <c r="F124" s="314">
        <f t="shared" si="9"/>
        <v>528394.88965268922</v>
      </c>
      <c r="G124" s="314">
        <f t="shared" si="9"/>
        <v>584251.67534482817</v>
      </c>
      <c r="H124" s="314">
        <f t="shared" si="9"/>
        <v>560298.20077463659</v>
      </c>
      <c r="I124" s="314">
        <f t="shared" si="9"/>
        <v>513176.46239205881</v>
      </c>
      <c r="J124" s="314">
        <f t="shared" si="9"/>
        <v>515364.49165295257</v>
      </c>
    </row>
    <row r="125" spans="1:10" ht="15.75" thickBot="1">
      <c r="B125" s="278"/>
      <c r="C125" s="123"/>
      <c r="E125" s="306"/>
      <c r="F125" s="306"/>
      <c r="G125" s="306"/>
      <c r="H125" s="306"/>
      <c r="I125" s="306"/>
      <c r="J125" s="306"/>
    </row>
    <row r="126" spans="1:10" ht="16.5" thickBot="1">
      <c r="B126" s="279"/>
      <c r="C126" s="124" t="s">
        <v>280</v>
      </c>
      <c r="D126" s="317">
        <f>D124+D96+D83+D77+D61+D57+D51+D43+D31</f>
        <v>2491374.6587593649</v>
      </c>
      <c r="E126" s="317">
        <f t="shared" ref="E126:J126" si="10">E124+E96+E83+E77+E61+E57+E51+E43+E31</f>
        <v>2454934.7158448631</v>
      </c>
      <c r="F126" s="317">
        <f t="shared" si="10"/>
        <v>2473483.6744637955</v>
      </c>
      <c r="G126" s="317">
        <f t="shared" si="10"/>
        <v>2572276.0881462907</v>
      </c>
      <c r="H126" s="317">
        <f t="shared" si="10"/>
        <v>2577950.2565252045</v>
      </c>
      <c r="I126" s="317">
        <f t="shared" si="10"/>
        <v>2564082.7580324328</v>
      </c>
      <c r="J126" s="317">
        <f t="shared" si="10"/>
        <v>2601360.873841804</v>
      </c>
    </row>
    <row r="127" spans="1:10" ht="15.75">
      <c r="B127" s="279"/>
      <c r="C127" s="125"/>
      <c r="E127" s="306"/>
      <c r="F127" s="306"/>
      <c r="G127" s="306"/>
      <c r="H127" s="306"/>
      <c r="I127" s="306"/>
      <c r="J127" s="306"/>
    </row>
    <row r="128" spans="1:10" ht="15.75" thickBot="1">
      <c r="B128" s="278"/>
      <c r="C128" s="126"/>
      <c r="E128" s="306"/>
      <c r="F128" s="306"/>
      <c r="G128" s="306"/>
      <c r="H128" s="306"/>
      <c r="I128" s="306"/>
      <c r="J128" s="306"/>
    </row>
    <row r="129" spans="2:10" customFormat="1" ht="16.5" thickBot="1">
      <c r="B129" s="278"/>
      <c r="C129" s="124" t="s">
        <v>281</v>
      </c>
      <c r="D129" s="318">
        <f t="shared" ref="D129:J129" si="11">D11-D126</f>
        <v>-9920.618759364821</v>
      </c>
      <c r="E129" s="318">
        <f t="shared" si="11"/>
        <v>11539.392955136951</v>
      </c>
      <c r="F129" s="318">
        <f t="shared" si="11"/>
        <v>2364.1466322047636</v>
      </c>
      <c r="G129" s="318">
        <f t="shared" si="11"/>
        <v>-85723.079327970743</v>
      </c>
      <c r="H129" s="318">
        <f t="shared" si="11"/>
        <v>-79706.49686824996</v>
      </c>
      <c r="I129" s="318">
        <f t="shared" si="11"/>
        <v>-52981.517688493244</v>
      </c>
      <c r="J129" s="318">
        <f t="shared" si="11"/>
        <v>-76307.741451243404</v>
      </c>
    </row>
    <row r="130" spans="2:10" customFormat="1">
      <c r="B130" s="278"/>
      <c r="C130" s="126"/>
      <c r="D130" s="306"/>
      <c r="E130" s="306"/>
      <c r="F130" s="306"/>
      <c r="G130" s="306"/>
      <c r="H130" s="306"/>
      <c r="I130" s="306"/>
      <c r="J130" s="306"/>
    </row>
    <row r="131" spans="2:10" customFormat="1" ht="15.75">
      <c r="B131" s="278"/>
      <c r="C131" s="127"/>
      <c r="D131" s="306"/>
      <c r="E131" s="306"/>
      <c r="F131" s="306"/>
      <c r="G131" s="306"/>
      <c r="H131" s="306"/>
      <c r="I131" s="306"/>
      <c r="J131" s="306"/>
    </row>
    <row r="132" spans="2:10" customFormat="1" ht="15.75">
      <c r="B132" s="278"/>
      <c r="C132" s="127"/>
      <c r="D132" s="306"/>
      <c r="E132" s="306"/>
      <c r="F132" s="306"/>
      <c r="G132" s="306"/>
      <c r="H132" s="306"/>
      <c r="I132" s="306"/>
      <c r="J132" s="306"/>
    </row>
    <row r="133" spans="2:10" customFormat="1">
      <c r="B133" s="278"/>
      <c r="C133" s="126"/>
      <c r="D133" s="306"/>
      <c r="E133" s="306"/>
      <c r="F133" s="306"/>
      <c r="G133" s="306"/>
      <c r="H133" s="306"/>
      <c r="I133" s="306"/>
      <c r="J133" s="306"/>
    </row>
    <row r="134" spans="2:10" customFormat="1">
      <c r="B134" s="278"/>
      <c r="C134" s="126"/>
      <c r="D134" s="306"/>
      <c r="E134" s="306"/>
      <c r="F134" s="306"/>
      <c r="G134" s="306"/>
      <c r="H134" s="306"/>
      <c r="I134" s="306"/>
      <c r="J134" s="306"/>
    </row>
    <row r="135" spans="2:10" customFormat="1">
      <c r="B135" s="278"/>
      <c r="C135" s="126"/>
      <c r="D135" s="306"/>
      <c r="E135" s="306"/>
      <c r="F135" s="306"/>
      <c r="G135" s="306"/>
      <c r="H135" s="306"/>
      <c r="I135" s="306"/>
      <c r="J135" s="306"/>
    </row>
    <row r="136" spans="2:10" customFormat="1">
      <c r="B136" s="418"/>
      <c r="C136" s="418"/>
      <c r="D136" s="306"/>
      <c r="E136" s="306"/>
      <c r="F136" s="306"/>
      <c r="G136" s="306"/>
      <c r="H136" s="306"/>
      <c r="I136" s="306"/>
      <c r="J136" s="306"/>
    </row>
    <row r="137" spans="2:10" customFormat="1">
      <c r="B137" s="278"/>
      <c r="C137" s="96"/>
      <c r="D137" s="306"/>
      <c r="E137" s="306"/>
      <c r="F137" s="306"/>
      <c r="G137" s="306"/>
      <c r="H137" s="306"/>
      <c r="I137" s="306"/>
      <c r="J137" s="306"/>
    </row>
    <row r="138" spans="2:10" customFormat="1">
      <c r="B138" s="278"/>
      <c r="C138" s="126"/>
      <c r="D138" s="306"/>
      <c r="E138" s="306"/>
      <c r="F138" s="306"/>
      <c r="G138" s="306"/>
      <c r="H138" s="306"/>
      <c r="I138" s="306"/>
      <c r="J138" s="306"/>
    </row>
    <row r="139" spans="2:10" customFormat="1">
      <c r="B139" s="278"/>
      <c r="C139" s="126"/>
      <c r="D139" s="306"/>
      <c r="E139" s="306"/>
      <c r="F139" s="306"/>
      <c r="G139" s="306"/>
      <c r="H139" s="306"/>
      <c r="I139" s="306"/>
      <c r="J139" s="306"/>
    </row>
    <row r="140" spans="2:10" customFormat="1">
      <c r="B140" s="278"/>
      <c r="C140" s="123"/>
      <c r="D140" s="306"/>
      <c r="E140" s="306"/>
      <c r="F140" s="306"/>
      <c r="G140" s="306"/>
      <c r="H140" s="306"/>
      <c r="I140" s="306"/>
      <c r="J140" s="306"/>
    </row>
    <row r="141" spans="2:10" customFormat="1">
      <c r="B141" s="278"/>
      <c r="C141" s="96"/>
      <c r="D141" s="306"/>
      <c r="E141" s="306"/>
      <c r="F141" s="306"/>
      <c r="G141" s="306"/>
      <c r="H141" s="306"/>
      <c r="I141" s="306"/>
      <c r="J141" s="306"/>
    </row>
    <row r="142" spans="2:10" customFormat="1">
      <c r="B142" s="278"/>
      <c r="C142" s="96"/>
      <c r="D142" s="306"/>
      <c r="E142" s="306"/>
      <c r="F142" s="306"/>
      <c r="G142" s="306"/>
      <c r="H142" s="306"/>
      <c r="I142" s="306"/>
      <c r="J142" s="306"/>
    </row>
    <row r="143" spans="2:10" customFormat="1">
      <c r="B143" s="278"/>
      <c r="C143" s="96"/>
      <c r="D143" s="306"/>
      <c r="E143" s="306"/>
      <c r="F143" s="306"/>
      <c r="G143" s="306"/>
      <c r="H143" s="306"/>
      <c r="I143" s="306"/>
      <c r="J143" s="306"/>
    </row>
    <row r="144" spans="2:10" customFormat="1">
      <c r="B144" s="278"/>
      <c r="C144" s="96"/>
      <c r="D144" s="306"/>
      <c r="E144" s="306"/>
      <c r="F144" s="306"/>
      <c r="G144" s="306"/>
      <c r="H144" s="306"/>
      <c r="I144" s="306"/>
      <c r="J144" s="306"/>
    </row>
    <row r="145" spans="2:10" customFormat="1">
      <c r="B145" s="278"/>
      <c r="C145" s="96"/>
      <c r="D145" s="306"/>
      <c r="E145" s="306"/>
      <c r="F145" s="306"/>
      <c r="G145" s="306"/>
      <c r="H145" s="306"/>
      <c r="I145" s="306"/>
      <c r="J145" s="306"/>
    </row>
    <row r="146" spans="2:10" customFormat="1">
      <c r="B146" s="278"/>
      <c r="C146" s="126"/>
      <c r="D146" s="306"/>
      <c r="E146" s="306"/>
      <c r="F146" s="306"/>
      <c r="G146" s="306"/>
      <c r="H146" s="306"/>
      <c r="I146" s="306"/>
      <c r="J146" s="306"/>
    </row>
    <row r="147" spans="2:10" customFormat="1">
      <c r="B147" s="278"/>
      <c r="C147" s="126"/>
      <c r="D147" s="306"/>
      <c r="E147" s="306"/>
      <c r="F147" s="306"/>
      <c r="G147" s="306"/>
      <c r="H147" s="306"/>
      <c r="I147" s="306"/>
      <c r="J147" s="306"/>
    </row>
    <row r="148" spans="2:10" customFormat="1">
      <c r="B148" s="293"/>
      <c r="C148" s="126"/>
      <c r="D148" s="306"/>
      <c r="E148" s="306"/>
      <c r="F148" s="306"/>
      <c r="G148" s="306"/>
      <c r="H148" s="306"/>
      <c r="I148" s="306"/>
      <c r="J148" s="306"/>
    </row>
    <row r="149" spans="2:10" customFormat="1">
      <c r="B149" s="278"/>
      <c r="C149" s="126"/>
      <c r="D149" s="306"/>
      <c r="E149" s="307"/>
      <c r="F149" s="307"/>
      <c r="G149" s="307"/>
      <c r="H149" s="307"/>
      <c r="I149" s="307"/>
      <c r="J149" s="307"/>
    </row>
    <row r="150" spans="2:10" customFormat="1">
      <c r="B150" s="278"/>
      <c r="C150" s="126"/>
      <c r="D150" s="306"/>
      <c r="E150" s="307"/>
      <c r="F150" s="307"/>
      <c r="G150" s="307"/>
      <c r="H150" s="307"/>
      <c r="I150" s="307"/>
      <c r="J150" s="307"/>
    </row>
    <row r="151" spans="2:10" customFormat="1">
      <c r="B151" s="278"/>
      <c r="C151" s="123"/>
      <c r="D151" s="306"/>
      <c r="E151" s="307"/>
      <c r="F151" s="307"/>
      <c r="G151" s="307"/>
      <c r="H151" s="307"/>
      <c r="I151" s="307"/>
      <c r="J151" s="307"/>
    </row>
    <row r="152" spans="2:10" customFormat="1">
      <c r="B152" s="278"/>
      <c r="C152" s="96"/>
      <c r="D152" s="306"/>
      <c r="E152" s="307"/>
      <c r="F152" s="307"/>
      <c r="G152" s="307"/>
      <c r="H152" s="307"/>
      <c r="I152" s="307"/>
      <c r="J152" s="307"/>
    </row>
    <row r="153" spans="2:10" customFormat="1">
      <c r="B153" s="278"/>
      <c r="C153" s="96"/>
      <c r="D153" s="306"/>
      <c r="E153" s="307"/>
      <c r="F153" s="307"/>
      <c r="G153" s="307"/>
      <c r="H153" s="307"/>
      <c r="I153" s="307"/>
      <c r="J153" s="307"/>
    </row>
    <row r="154" spans="2:10" customFormat="1">
      <c r="B154" s="278"/>
      <c r="C154" s="97"/>
      <c r="D154" s="306"/>
      <c r="E154" s="307"/>
      <c r="F154" s="307"/>
      <c r="G154" s="307"/>
      <c r="H154" s="307"/>
      <c r="I154" s="307"/>
      <c r="J154" s="307"/>
    </row>
    <row r="155" spans="2:10" customFormat="1">
      <c r="B155" s="278"/>
      <c r="C155" s="96"/>
      <c r="D155" s="306"/>
      <c r="E155" s="307"/>
      <c r="F155" s="307"/>
      <c r="G155" s="307"/>
      <c r="H155" s="307"/>
      <c r="I155" s="307"/>
      <c r="J155" s="307"/>
    </row>
    <row r="156" spans="2:10" customFormat="1">
      <c r="B156" s="278"/>
      <c r="C156" s="96"/>
      <c r="D156" s="306"/>
      <c r="E156" s="307"/>
      <c r="F156" s="307"/>
      <c r="G156" s="307"/>
      <c r="H156" s="307"/>
      <c r="I156" s="307"/>
      <c r="J156" s="307"/>
    </row>
    <row r="157" spans="2:10" customFormat="1">
      <c r="B157" s="278"/>
      <c r="C157" s="96"/>
      <c r="D157" s="306"/>
      <c r="E157" s="307"/>
      <c r="F157" s="307"/>
      <c r="G157" s="307"/>
      <c r="H157" s="307"/>
      <c r="I157" s="307"/>
      <c r="J157" s="307"/>
    </row>
    <row r="158" spans="2:10" customFormat="1">
      <c r="B158" s="278"/>
      <c r="C158" s="96"/>
      <c r="D158" s="306"/>
      <c r="E158" s="307"/>
      <c r="F158" s="307"/>
      <c r="G158" s="307"/>
      <c r="H158" s="307"/>
      <c r="I158" s="307"/>
      <c r="J158" s="307"/>
    </row>
    <row r="159" spans="2:10" customFormat="1">
      <c r="B159" s="278"/>
      <c r="C159" s="96"/>
      <c r="D159" s="306"/>
      <c r="E159" s="307"/>
      <c r="F159" s="307"/>
      <c r="G159" s="307"/>
      <c r="H159" s="307"/>
      <c r="I159" s="307"/>
      <c r="J159" s="307"/>
    </row>
    <row r="160" spans="2:10" customFormat="1">
      <c r="B160" s="278"/>
      <c r="C160" s="96"/>
      <c r="D160" s="306"/>
      <c r="E160" s="307"/>
      <c r="F160" s="307"/>
      <c r="G160" s="307"/>
      <c r="H160" s="307"/>
      <c r="I160" s="307"/>
      <c r="J160" s="307"/>
    </row>
    <row r="161" spans="2:3" customFormat="1">
      <c r="B161" s="278"/>
      <c r="C161" s="96"/>
    </row>
    <row r="162" spans="2:3" customFormat="1">
      <c r="B162" s="278"/>
      <c r="C162" s="96"/>
    </row>
    <row r="163" spans="2:3" customFormat="1">
      <c r="B163" s="278"/>
      <c r="C163" s="96"/>
    </row>
    <row r="164" spans="2:3" customFormat="1">
      <c r="B164" s="278"/>
      <c r="C164" s="96"/>
    </row>
    <row r="165" spans="2:3" customFormat="1">
      <c r="B165" s="278"/>
      <c r="C165" s="96"/>
    </row>
    <row r="166" spans="2:3" customFormat="1">
      <c r="B166" s="278"/>
      <c r="C166" s="96"/>
    </row>
    <row r="167" spans="2:3" customFormat="1">
      <c r="B167" s="278"/>
      <c r="C167" s="96"/>
    </row>
    <row r="168" spans="2:3" customFormat="1">
      <c r="B168" s="278"/>
      <c r="C168" s="96"/>
    </row>
    <row r="169" spans="2:3" customFormat="1">
      <c r="B169" s="278"/>
      <c r="C169" s="96"/>
    </row>
    <row r="170" spans="2:3" customFormat="1">
      <c r="B170" s="278"/>
      <c r="C170" s="96"/>
    </row>
    <row r="171" spans="2:3" customFormat="1">
      <c r="B171" s="278"/>
      <c r="C171" s="96"/>
    </row>
    <row r="172" spans="2:3" customFormat="1">
      <c r="B172" s="278"/>
      <c r="C172" s="96"/>
    </row>
    <row r="173" spans="2:3" customFormat="1">
      <c r="B173" s="278"/>
      <c r="C173" s="96"/>
    </row>
    <row r="174" spans="2:3" customFormat="1">
      <c r="B174" s="278"/>
      <c r="C174" s="96"/>
    </row>
    <row r="175" spans="2:3" customFormat="1">
      <c r="B175" s="278"/>
      <c r="C175" s="96"/>
    </row>
    <row r="176" spans="2:3" customFormat="1">
      <c r="B176" s="278"/>
      <c r="C176" s="96"/>
    </row>
    <row r="177" spans="2:3" customFormat="1">
      <c r="B177" s="278"/>
      <c r="C177" s="96"/>
    </row>
  </sheetData>
  <sheetProtection password="DF03" sheet="1" objects="1" scenarios="1"/>
  <mergeCells count="12">
    <mergeCell ref="B54:C54"/>
    <mergeCell ref="B15:C15"/>
    <mergeCell ref="B33:C33"/>
    <mergeCell ref="B45:C45"/>
    <mergeCell ref="B46:C46"/>
    <mergeCell ref="B53:C53"/>
    <mergeCell ref="B136:C136"/>
    <mergeCell ref="B59:C59"/>
    <mergeCell ref="B63:C63"/>
    <mergeCell ref="B79:C79"/>
    <mergeCell ref="B85:C85"/>
    <mergeCell ref="B98:C98"/>
  </mergeCells>
  <pageMargins left="0.5" right="0.5" top="0.5" bottom="0.5" header="0.3" footer="0.3"/>
  <pageSetup scale="90" orientation="landscape" r:id="rId1"/>
  <headerFooter>
    <oddFooter>&amp;LPPA Budget Projections&amp;CPinellas Preparatory Academy, Inc.&amp;RPage &amp;P or &amp;N</oddFooter>
  </headerFooter>
  <rowBreaks count="3" manualBreakCount="3">
    <brk id="32" max="16383" man="1"/>
    <brk id="62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showGridLines="0" view="pageLayout" zoomScale="70" zoomScaleNormal="100" zoomScalePageLayoutView="70" workbookViewId="0">
      <selection sqref="A1:M1"/>
    </sheetView>
  </sheetViews>
  <sheetFormatPr defaultRowHeight="15"/>
  <cols>
    <col min="1" max="1" width="7.85546875" customWidth="1"/>
    <col min="2" max="4" width="9.5703125" customWidth="1"/>
    <col min="5" max="12" width="9.85546875" customWidth="1"/>
    <col min="13" max="19" width="10.7109375" customWidth="1"/>
  </cols>
  <sheetData>
    <row r="1" spans="1:13" ht="27">
      <c r="A1" s="426" t="s">
        <v>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>
      <c r="A2" s="2" t="s">
        <v>1</v>
      </c>
      <c r="B2" s="1"/>
      <c r="C2" s="1"/>
      <c r="D2" s="1"/>
      <c r="E2" s="1"/>
      <c r="F2" s="1"/>
      <c r="G2" s="1"/>
      <c r="H2" s="1"/>
      <c r="I2" s="1"/>
    </row>
    <row r="4" spans="1:13">
      <c r="A4" s="3" t="s">
        <v>2</v>
      </c>
      <c r="B4" s="4" t="s">
        <v>12</v>
      </c>
      <c r="C4" s="427" t="s">
        <v>3</v>
      </c>
      <c r="D4" s="427"/>
      <c r="E4" s="427"/>
      <c r="F4" s="427"/>
      <c r="G4" s="427"/>
      <c r="I4" s="428" t="s">
        <v>11</v>
      </c>
    </row>
    <row r="5" spans="1:13" ht="15.75" thickBot="1">
      <c r="A5" s="5" t="s">
        <v>4</v>
      </c>
      <c r="B5" s="6" t="s">
        <v>5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I5" s="429"/>
    </row>
    <row r="6" spans="1:13">
      <c r="A6" s="251">
        <v>1</v>
      </c>
      <c r="B6" s="252">
        <v>1</v>
      </c>
      <c r="C6" s="253">
        <f>B6+$I6+C$29</f>
        <v>1.0049999999999999</v>
      </c>
      <c r="D6" s="253">
        <f>C6+$I6+D$29</f>
        <v>1.0199999999999998</v>
      </c>
      <c r="E6" s="253">
        <f>D6+$I6+E$29</f>
        <v>1.0449999999999997</v>
      </c>
      <c r="F6" s="253">
        <f>E6+$I6+F$29</f>
        <v>1.0549999999999997</v>
      </c>
      <c r="G6" s="253">
        <f>F6+$I6+G$29</f>
        <v>1.0849999999999997</v>
      </c>
      <c r="H6" s="254"/>
      <c r="I6" s="255"/>
    </row>
    <row r="7" spans="1:13">
      <c r="A7" s="251">
        <f t="shared" ref="A7:A27" si="0">1+A6</f>
        <v>2</v>
      </c>
      <c r="B7" s="252">
        <f t="shared" ref="B7:G8" si="1">B6</f>
        <v>1</v>
      </c>
      <c r="C7" s="252">
        <f t="shared" si="1"/>
        <v>1.0049999999999999</v>
      </c>
      <c r="D7" s="252">
        <f t="shared" si="1"/>
        <v>1.0199999999999998</v>
      </c>
      <c r="E7" s="252">
        <f t="shared" si="1"/>
        <v>1.0449999999999997</v>
      </c>
      <c r="F7" s="252">
        <f t="shared" si="1"/>
        <v>1.0549999999999997</v>
      </c>
      <c r="G7" s="252">
        <f t="shared" si="1"/>
        <v>1.0849999999999997</v>
      </c>
      <c r="H7" s="254"/>
      <c r="I7" s="255"/>
    </row>
    <row r="8" spans="1:13">
      <c r="A8" s="251">
        <f t="shared" si="0"/>
        <v>3</v>
      </c>
      <c r="B8" s="252">
        <f t="shared" si="1"/>
        <v>1</v>
      </c>
      <c r="C8" s="252">
        <f t="shared" si="1"/>
        <v>1.0049999999999999</v>
      </c>
      <c r="D8" s="252">
        <f t="shared" si="1"/>
        <v>1.0199999999999998</v>
      </c>
      <c r="E8" s="252">
        <f t="shared" si="1"/>
        <v>1.0449999999999997</v>
      </c>
      <c r="F8" s="252">
        <f t="shared" si="1"/>
        <v>1.0549999999999997</v>
      </c>
      <c r="G8" s="252">
        <f t="shared" si="1"/>
        <v>1.0849999999999997</v>
      </c>
      <c r="H8" s="254"/>
      <c r="I8" s="255"/>
    </row>
    <row r="9" spans="1:13">
      <c r="A9" s="251">
        <f t="shared" si="0"/>
        <v>4</v>
      </c>
      <c r="B9" s="252">
        <f t="shared" ref="B9:G9" si="2">B6+$I9</f>
        <v>1.01</v>
      </c>
      <c r="C9" s="252">
        <f t="shared" si="2"/>
        <v>1.0149999999999999</v>
      </c>
      <c r="D9" s="252">
        <f t="shared" si="2"/>
        <v>1.0299999999999998</v>
      </c>
      <c r="E9" s="252">
        <f t="shared" si="2"/>
        <v>1.0549999999999997</v>
      </c>
      <c r="F9" s="252">
        <f t="shared" si="2"/>
        <v>1.0649999999999997</v>
      </c>
      <c r="G9" s="252">
        <f t="shared" si="2"/>
        <v>1.0949999999999998</v>
      </c>
      <c r="H9" s="254"/>
      <c r="I9" s="255">
        <v>0.01</v>
      </c>
    </row>
    <row r="10" spans="1:13">
      <c r="A10" s="251">
        <f t="shared" si="0"/>
        <v>5</v>
      </c>
      <c r="B10" s="252">
        <f t="shared" ref="B10:B27" si="3">B9+$I10</f>
        <v>1.02</v>
      </c>
      <c r="C10" s="252">
        <f t="shared" ref="C10:C27" si="4">C9+$I10</f>
        <v>1.0249999999999999</v>
      </c>
      <c r="D10" s="252">
        <f t="shared" ref="D10:D27" si="5">D9+$I10</f>
        <v>1.0399999999999998</v>
      </c>
      <c r="E10" s="252">
        <f t="shared" ref="E10:E27" si="6">E9+$I10</f>
        <v>1.0649999999999997</v>
      </c>
      <c r="F10" s="252">
        <f t="shared" ref="F10:F27" si="7">F9+$I10</f>
        <v>1.0749999999999997</v>
      </c>
      <c r="G10" s="252">
        <f t="shared" ref="G10:G27" si="8">G9+$I10</f>
        <v>1.1049999999999998</v>
      </c>
      <c r="H10" s="254"/>
      <c r="I10" s="255">
        <v>0.01</v>
      </c>
    </row>
    <row r="11" spans="1:13">
      <c r="A11" s="251">
        <f t="shared" si="0"/>
        <v>6</v>
      </c>
      <c r="B11" s="252">
        <f t="shared" si="3"/>
        <v>1.02</v>
      </c>
      <c r="C11" s="252">
        <f t="shared" si="4"/>
        <v>1.0249999999999999</v>
      </c>
      <c r="D11" s="252">
        <f t="shared" si="5"/>
        <v>1.0399999999999998</v>
      </c>
      <c r="E11" s="252">
        <f t="shared" si="6"/>
        <v>1.0649999999999997</v>
      </c>
      <c r="F11" s="252">
        <f t="shared" si="7"/>
        <v>1.0749999999999997</v>
      </c>
      <c r="G11" s="252">
        <f t="shared" si="8"/>
        <v>1.1049999999999998</v>
      </c>
      <c r="H11" s="254"/>
      <c r="I11" s="255">
        <v>0</v>
      </c>
    </row>
    <row r="12" spans="1:13">
      <c r="A12" s="251">
        <f t="shared" si="0"/>
        <v>7</v>
      </c>
      <c r="B12" s="252">
        <f t="shared" si="3"/>
        <v>1.03</v>
      </c>
      <c r="C12" s="252">
        <f t="shared" si="4"/>
        <v>1.0349999999999999</v>
      </c>
      <c r="D12" s="252">
        <f t="shared" si="5"/>
        <v>1.0499999999999998</v>
      </c>
      <c r="E12" s="252">
        <f t="shared" si="6"/>
        <v>1.0749999999999997</v>
      </c>
      <c r="F12" s="252">
        <f t="shared" si="7"/>
        <v>1.0849999999999997</v>
      </c>
      <c r="G12" s="252">
        <f t="shared" si="8"/>
        <v>1.1149999999999998</v>
      </c>
      <c r="H12" s="254"/>
      <c r="I12" s="255">
        <v>0.01</v>
      </c>
    </row>
    <row r="13" spans="1:13">
      <c r="A13" s="251">
        <f t="shared" si="0"/>
        <v>8</v>
      </c>
      <c r="B13" s="252">
        <f t="shared" si="3"/>
        <v>1.04</v>
      </c>
      <c r="C13" s="252">
        <f t="shared" si="4"/>
        <v>1.0449999999999999</v>
      </c>
      <c r="D13" s="252">
        <f t="shared" si="5"/>
        <v>1.0599999999999998</v>
      </c>
      <c r="E13" s="252">
        <f t="shared" si="6"/>
        <v>1.0849999999999997</v>
      </c>
      <c r="F13" s="252">
        <f t="shared" si="7"/>
        <v>1.0949999999999998</v>
      </c>
      <c r="G13" s="252">
        <f t="shared" si="8"/>
        <v>1.1249999999999998</v>
      </c>
      <c r="H13" s="254"/>
      <c r="I13" s="255">
        <v>0.01</v>
      </c>
    </row>
    <row r="14" spans="1:13">
      <c r="A14" s="256">
        <f t="shared" si="0"/>
        <v>9</v>
      </c>
      <c r="B14" s="252">
        <f t="shared" si="3"/>
        <v>1.08</v>
      </c>
      <c r="C14" s="252">
        <f t="shared" si="4"/>
        <v>1.085</v>
      </c>
      <c r="D14" s="252">
        <f t="shared" si="5"/>
        <v>1.0999999999999999</v>
      </c>
      <c r="E14" s="252">
        <f t="shared" si="6"/>
        <v>1.1249999999999998</v>
      </c>
      <c r="F14" s="252">
        <f t="shared" si="7"/>
        <v>1.1349999999999998</v>
      </c>
      <c r="G14" s="252">
        <f t="shared" si="8"/>
        <v>1.1649999999999998</v>
      </c>
      <c r="H14" s="254"/>
      <c r="I14" s="255">
        <v>0.04</v>
      </c>
    </row>
    <row r="15" spans="1:13">
      <c r="A15" s="256">
        <f t="shared" si="0"/>
        <v>10</v>
      </c>
      <c r="B15" s="252">
        <f t="shared" si="3"/>
        <v>1.0900000000000001</v>
      </c>
      <c r="C15" s="252">
        <f t="shared" si="4"/>
        <v>1.095</v>
      </c>
      <c r="D15" s="252">
        <f t="shared" si="5"/>
        <v>1.1099999999999999</v>
      </c>
      <c r="E15" s="252">
        <f t="shared" si="6"/>
        <v>1.1349999999999998</v>
      </c>
      <c r="F15" s="252">
        <f t="shared" si="7"/>
        <v>1.1449999999999998</v>
      </c>
      <c r="G15" s="252">
        <f t="shared" si="8"/>
        <v>1.1749999999999998</v>
      </c>
      <c r="H15" s="254"/>
      <c r="I15" s="255">
        <v>0.01</v>
      </c>
    </row>
    <row r="16" spans="1:13">
      <c r="A16" s="256">
        <f t="shared" si="0"/>
        <v>11</v>
      </c>
      <c r="B16" s="252">
        <f t="shared" si="3"/>
        <v>1.105</v>
      </c>
      <c r="C16" s="252">
        <f t="shared" si="4"/>
        <v>1.1099999999999999</v>
      </c>
      <c r="D16" s="252">
        <f t="shared" si="5"/>
        <v>1.1249999999999998</v>
      </c>
      <c r="E16" s="252">
        <f t="shared" si="6"/>
        <v>1.1499999999999997</v>
      </c>
      <c r="F16" s="252">
        <f t="shared" si="7"/>
        <v>1.1599999999999997</v>
      </c>
      <c r="G16" s="252">
        <f t="shared" si="8"/>
        <v>1.1899999999999997</v>
      </c>
      <c r="H16" s="254"/>
      <c r="I16" s="255">
        <v>1.4999999999999999E-2</v>
      </c>
    </row>
    <row r="17" spans="1:9">
      <c r="A17" s="256">
        <f t="shared" si="0"/>
        <v>12</v>
      </c>
      <c r="B17" s="252">
        <f t="shared" si="3"/>
        <v>1.125</v>
      </c>
      <c r="C17" s="252">
        <f t="shared" si="4"/>
        <v>1.1299999999999999</v>
      </c>
      <c r="D17" s="252">
        <f t="shared" si="5"/>
        <v>1.1449999999999998</v>
      </c>
      <c r="E17" s="252">
        <f t="shared" si="6"/>
        <v>1.1699999999999997</v>
      </c>
      <c r="F17" s="252">
        <f t="shared" si="7"/>
        <v>1.1799999999999997</v>
      </c>
      <c r="G17" s="252">
        <f t="shared" si="8"/>
        <v>1.2099999999999997</v>
      </c>
      <c r="H17" s="254"/>
      <c r="I17" s="255">
        <v>0.02</v>
      </c>
    </row>
    <row r="18" spans="1:9">
      <c r="A18" s="256">
        <f t="shared" si="0"/>
        <v>13</v>
      </c>
      <c r="B18" s="252">
        <f t="shared" si="3"/>
        <v>1.145</v>
      </c>
      <c r="C18" s="252">
        <f t="shared" si="4"/>
        <v>1.1499999999999999</v>
      </c>
      <c r="D18" s="252">
        <f t="shared" si="5"/>
        <v>1.1649999999999998</v>
      </c>
      <c r="E18" s="252">
        <f t="shared" si="6"/>
        <v>1.1899999999999997</v>
      </c>
      <c r="F18" s="252">
        <f t="shared" si="7"/>
        <v>1.1999999999999997</v>
      </c>
      <c r="G18" s="252">
        <f t="shared" si="8"/>
        <v>1.2299999999999998</v>
      </c>
      <c r="H18" s="254"/>
      <c r="I18" s="255">
        <v>0.02</v>
      </c>
    </row>
    <row r="19" spans="1:9">
      <c r="A19" s="256">
        <f t="shared" si="0"/>
        <v>14</v>
      </c>
      <c r="B19" s="252">
        <f t="shared" si="3"/>
        <v>1.165</v>
      </c>
      <c r="C19" s="252">
        <f t="shared" si="4"/>
        <v>1.17</v>
      </c>
      <c r="D19" s="252">
        <f t="shared" si="5"/>
        <v>1.1849999999999998</v>
      </c>
      <c r="E19" s="252">
        <f t="shared" si="6"/>
        <v>1.2099999999999997</v>
      </c>
      <c r="F19" s="252">
        <f t="shared" si="7"/>
        <v>1.2199999999999998</v>
      </c>
      <c r="G19" s="252">
        <f t="shared" si="8"/>
        <v>1.2499999999999998</v>
      </c>
      <c r="H19" s="254"/>
      <c r="I19" s="255">
        <v>0.02</v>
      </c>
    </row>
    <row r="20" spans="1:9">
      <c r="A20" s="256">
        <f t="shared" si="0"/>
        <v>15</v>
      </c>
      <c r="B20" s="252">
        <f t="shared" si="3"/>
        <v>1.1850000000000001</v>
      </c>
      <c r="C20" s="252">
        <f t="shared" si="4"/>
        <v>1.19</v>
      </c>
      <c r="D20" s="252">
        <f t="shared" si="5"/>
        <v>1.2049999999999998</v>
      </c>
      <c r="E20" s="252">
        <f t="shared" si="6"/>
        <v>1.2299999999999998</v>
      </c>
      <c r="F20" s="252">
        <f t="shared" si="7"/>
        <v>1.2399999999999998</v>
      </c>
      <c r="G20" s="252">
        <f t="shared" si="8"/>
        <v>1.2699999999999998</v>
      </c>
      <c r="H20" s="254"/>
      <c r="I20" s="255">
        <v>0.02</v>
      </c>
    </row>
    <row r="21" spans="1:9">
      <c r="A21" s="256">
        <f t="shared" si="0"/>
        <v>16</v>
      </c>
      <c r="B21" s="252">
        <f t="shared" si="3"/>
        <v>1.2050000000000001</v>
      </c>
      <c r="C21" s="252">
        <f t="shared" si="4"/>
        <v>1.21</v>
      </c>
      <c r="D21" s="252">
        <f t="shared" si="5"/>
        <v>1.2249999999999999</v>
      </c>
      <c r="E21" s="252">
        <f t="shared" si="6"/>
        <v>1.2499999999999998</v>
      </c>
      <c r="F21" s="252">
        <f t="shared" si="7"/>
        <v>1.2599999999999998</v>
      </c>
      <c r="G21" s="252">
        <f t="shared" si="8"/>
        <v>1.2899999999999998</v>
      </c>
      <c r="H21" s="254"/>
      <c r="I21" s="255">
        <v>0.02</v>
      </c>
    </row>
    <row r="22" spans="1:9">
      <c r="A22" s="256">
        <f t="shared" si="0"/>
        <v>17</v>
      </c>
      <c r="B22" s="252">
        <f t="shared" si="3"/>
        <v>1.2250000000000001</v>
      </c>
      <c r="C22" s="252">
        <f t="shared" si="4"/>
        <v>1.23</v>
      </c>
      <c r="D22" s="252">
        <f t="shared" si="5"/>
        <v>1.2449999999999999</v>
      </c>
      <c r="E22" s="252">
        <f t="shared" si="6"/>
        <v>1.2699999999999998</v>
      </c>
      <c r="F22" s="252">
        <f t="shared" si="7"/>
        <v>1.2799999999999998</v>
      </c>
      <c r="G22" s="252">
        <f t="shared" si="8"/>
        <v>1.3099999999999998</v>
      </c>
      <c r="H22" s="254"/>
      <c r="I22" s="255">
        <v>0.02</v>
      </c>
    </row>
    <row r="23" spans="1:9">
      <c r="A23" s="256">
        <f t="shared" si="0"/>
        <v>18</v>
      </c>
      <c r="B23" s="252">
        <f t="shared" si="3"/>
        <v>1.2450000000000001</v>
      </c>
      <c r="C23" s="252">
        <f t="shared" si="4"/>
        <v>1.25</v>
      </c>
      <c r="D23" s="252">
        <f t="shared" si="5"/>
        <v>1.2649999999999999</v>
      </c>
      <c r="E23" s="252">
        <f t="shared" si="6"/>
        <v>1.2899999999999998</v>
      </c>
      <c r="F23" s="252">
        <f t="shared" si="7"/>
        <v>1.2999999999999998</v>
      </c>
      <c r="G23" s="252">
        <f t="shared" si="8"/>
        <v>1.3299999999999998</v>
      </c>
      <c r="H23" s="254"/>
      <c r="I23" s="255">
        <v>0.02</v>
      </c>
    </row>
    <row r="24" spans="1:9">
      <c r="A24" s="256">
        <f t="shared" si="0"/>
        <v>19</v>
      </c>
      <c r="B24" s="252">
        <f t="shared" si="3"/>
        <v>1.2650000000000001</v>
      </c>
      <c r="C24" s="252">
        <f t="shared" si="4"/>
        <v>1.27</v>
      </c>
      <c r="D24" s="252">
        <f t="shared" si="5"/>
        <v>1.2849999999999999</v>
      </c>
      <c r="E24" s="252">
        <f t="shared" si="6"/>
        <v>1.3099999999999998</v>
      </c>
      <c r="F24" s="252">
        <f t="shared" si="7"/>
        <v>1.3199999999999998</v>
      </c>
      <c r="G24" s="252">
        <f t="shared" si="8"/>
        <v>1.3499999999999999</v>
      </c>
      <c r="H24" s="254"/>
      <c r="I24" s="255">
        <v>0.02</v>
      </c>
    </row>
    <row r="25" spans="1:9">
      <c r="A25" s="256">
        <f t="shared" si="0"/>
        <v>20</v>
      </c>
      <c r="B25" s="252">
        <f t="shared" si="3"/>
        <v>1.2850000000000001</v>
      </c>
      <c r="C25" s="252">
        <f t="shared" si="4"/>
        <v>1.29</v>
      </c>
      <c r="D25" s="252">
        <f t="shared" si="5"/>
        <v>1.3049999999999999</v>
      </c>
      <c r="E25" s="252">
        <f t="shared" si="6"/>
        <v>1.3299999999999998</v>
      </c>
      <c r="F25" s="252">
        <f t="shared" si="7"/>
        <v>1.3399999999999999</v>
      </c>
      <c r="G25" s="252">
        <f t="shared" si="8"/>
        <v>1.3699999999999999</v>
      </c>
      <c r="H25" s="254"/>
      <c r="I25" s="255">
        <v>0.02</v>
      </c>
    </row>
    <row r="26" spans="1:9">
      <c r="A26" s="256">
        <f t="shared" si="0"/>
        <v>21</v>
      </c>
      <c r="B26" s="252">
        <f t="shared" si="3"/>
        <v>1.3050000000000002</v>
      </c>
      <c r="C26" s="252">
        <f t="shared" si="4"/>
        <v>1.31</v>
      </c>
      <c r="D26" s="252">
        <f t="shared" si="5"/>
        <v>1.325</v>
      </c>
      <c r="E26" s="252">
        <f t="shared" si="6"/>
        <v>1.3499999999999999</v>
      </c>
      <c r="F26" s="252">
        <f t="shared" si="7"/>
        <v>1.3599999999999999</v>
      </c>
      <c r="G26" s="252">
        <f t="shared" si="8"/>
        <v>1.39</v>
      </c>
      <c r="H26" s="254"/>
      <c r="I26" s="255">
        <v>0.02</v>
      </c>
    </row>
    <row r="27" spans="1:9">
      <c r="A27" s="256">
        <f t="shared" si="0"/>
        <v>22</v>
      </c>
      <c r="B27" s="252">
        <f t="shared" si="3"/>
        <v>1.3250000000000002</v>
      </c>
      <c r="C27" s="252">
        <f t="shared" si="4"/>
        <v>1.33</v>
      </c>
      <c r="D27" s="252">
        <f t="shared" si="5"/>
        <v>1.345</v>
      </c>
      <c r="E27" s="252">
        <f t="shared" si="6"/>
        <v>1.3699999999999999</v>
      </c>
      <c r="F27" s="252">
        <f t="shared" si="7"/>
        <v>1.38</v>
      </c>
      <c r="G27" s="252">
        <f t="shared" si="8"/>
        <v>1.41</v>
      </c>
      <c r="H27" s="254"/>
      <c r="I27" s="255">
        <v>0.02</v>
      </c>
    </row>
    <row r="28" spans="1:9">
      <c r="A28" s="254"/>
      <c r="B28" s="254"/>
      <c r="C28" s="254"/>
      <c r="D28" s="254"/>
      <c r="E28" s="254"/>
      <c r="F28" s="254"/>
      <c r="G28" s="254"/>
      <c r="H28" s="254"/>
      <c r="I28" s="254"/>
    </row>
    <row r="29" spans="1:9">
      <c r="A29" s="255" t="s">
        <v>10</v>
      </c>
      <c r="B29" s="255"/>
      <c r="C29" s="255">
        <v>5.0000000000000001E-3</v>
      </c>
      <c r="D29" s="255">
        <v>1.4999999999999999E-2</v>
      </c>
      <c r="E29" s="255">
        <v>2.5000000000000001E-2</v>
      </c>
      <c r="F29" s="255">
        <v>0.01</v>
      </c>
      <c r="G29" s="255">
        <v>0.03</v>
      </c>
      <c r="H29" s="254"/>
      <c r="I29" s="254"/>
    </row>
    <row r="32" spans="1:9" ht="18">
      <c r="A32" s="8" t="s">
        <v>13</v>
      </c>
      <c r="B32" s="9"/>
      <c r="C32" s="9"/>
      <c r="D32" s="9"/>
      <c r="E32" s="9"/>
      <c r="F32" s="9"/>
      <c r="G32" s="9"/>
    </row>
    <row r="33" spans="1:7" ht="18">
      <c r="A33" s="8" t="s">
        <v>14</v>
      </c>
      <c r="B33" s="9"/>
      <c r="C33" s="9"/>
      <c r="D33" s="9"/>
      <c r="E33" s="9"/>
      <c r="F33" s="9"/>
      <c r="G33" s="9"/>
    </row>
    <row r="34" spans="1:7" ht="18">
      <c r="A34" s="8" t="s">
        <v>22</v>
      </c>
      <c r="B34" s="9"/>
      <c r="C34" s="9"/>
      <c r="D34" s="9"/>
      <c r="E34" s="9"/>
      <c r="F34" s="9"/>
      <c r="G34" s="9"/>
    </row>
    <row r="35" spans="1:7" ht="18">
      <c r="A35" s="8"/>
      <c r="B35" s="10" t="s">
        <v>16</v>
      </c>
      <c r="C35" s="10" t="s">
        <v>17</v>
      </c>
      <c r="D35" s="10" t="s">
        <v>17</v>
      </c>
      <c r="E35" s="10" t="s">
        <v>18</v>
      </c>
      <c r="F35" s="10" t="s">
        <v>19</v>
      </c>
      <c r="G35" s="10" t="s">
        <v>20</v>
      </c>
    </row>
    <row r="36" spans="1:7">
      <c r="A36" s="11" t="s">
        <v>2</v>
      </c>
      <c r="B36" s="430" t="s">
        <v>21</v>
      </c>
      <c r="C36" s="432" t="s">
        <v>3</v>
      </c>
      <c r="D36" s="432"/>
      <c r="E36" s="432"/>
      <c r="F36" s="432"/>
      <c r="G36" s="432"/>
    </row>
    <row r="37" spans="1:7" ht="15.75" thickBot="1">
      <c r="A37" s="12" t="s">
        <v>23</v>
      </c>
      <c r="B37" s="431"/>
      <c r="C37" s="13" t="s">
        <v>5</v>
      </c>
      <c r="D37" s="13" t="s">
        <v>6</v>
      </c>
      <c r="E37" s="13" t="s">
        <v>7</v>
      </c>
      <c r="F37" s="13" t="s">
        <v>8</v>
      </c>
      <c r="G37" s="13" t="s">
        <v>9</v>
      </c>
    </row>
    <row r="38" spans="1:7">
      <c r="A38" s="14"/>
      <c r="B38" s="15"/>
      <c r="C38" s="14"/>
      <c r="D38" s="14"/>
      <c r="E38" s="14"/>
      <c r="F38" s="14"/>
      <c r="G38" s="14"/>
    </row>
    <row r="39" spans="1:7">
      <c r="A39" s="257">
        <v>1</v>
      </c>
      <c r="B39" s="16">
        <v>37300</v>
      </c>
      <c r="C39" s="16">
        <f t="shared" ref="C39:G40" si="9">$B$39*C6</f>
        <v>37486.499999999993</v>
      </c>
      <c r="D39" s="16">
        <f t="shared" si="9"/>
        <v>38045.999999999993</v>
      </c>
      <c r="E39" s="16">
        <f t="shared" si="9"/>
        <v>38978.499999999985</v>
      </c>
      <c r="F39" s="16">
        <f t="shared" si="9"/>
        <v>39351.499999999993</v>
      </c>
      <c r="G39" s="16">
        <f t="shared" si="9"/>
        <v>40470.499999999993</v>
      </c>
    </row>
    <row r="40" spans="1:7">
      <c r="A40" s="257">
        <f t="shared" ref="A40:A60" si="10">1+A39</f>
        <v>2</v>
      </c>
      <c r="B40" s="16">
        <f>$B$39*B7</f>
        <v>37300</v>
      </c>
      <c r="C40" s="16">
        <f t="shared" si="9"/>
        <v>37486.499999999993</v>
      </c>
      <c r="D40" s="16">
        <f t="shared" si="9"/>
        <v>38045.999999999993</v>
      </c>
      <c r="E40" s="16">
        <f t="shared" si="9"/>
        <v>38978.499999999985</v>
      </c>
      <c r="F40" s="16">
        <f t="shared" si="9"/>
        <v>39351.499999999993</v>
      </c>
      <c r="G40" s="16">
        <f t="shared" si="9"/>
        <v>40470.499999999993</v>
      </c>
    </row>
    <row r="41" spans="1:7">
      <c r="A41" s="257">
        <f>1+A40</f>
        <v>3</v>
      </c>
      <c r="B41" s="16">
        <f t="shared" ref="B41:G60" si="11">$B$39*B8</f>
        <v>37300</v>
      </c>
      <c r="C41" s="16">
        <f t="shared" si="11"/>
        <v>37486.499999999993</v>
      </c>
      <c r="D41" s="16">
        <f t="shared" si="11"/>
        <v>38045.999999999993</v>
      </c>
      <c r="E41" s="16">
        <f t="shared" si="11"/>
        <v>38978.499999999985</v>
      </c>
      <c r="F41" s="16">
        <f t="shared" si="11"/>
        <v>39351.499999999993</v>
      </c>
      <c r="G41" s="16">
        <f t="shared" si="11"/>
        <v>40470.499999999993</v>
      </c>
    </row>
    <row r="42" spans="1:7">
      <c r="A42" s="257">
        <f t="shared" si="10"/>
        <v>4</v>
      </c>
      <c r="B42" s="16">
        <f t="shared" si="11"/>
        <v>37673</v>
      </c>
      <c r="C42" s="16">
        <f t="shared" si="11"/>
        <v>37859.499999999993</v>
      </c>
      <c r="D42" s="16">
        <f t="shared" si="11"/>
        <v>38418.999999999993</v>
      </c>
      <c r="E42" s="16">
        <f t="shared" si="11"/>
        <v>39351.499999999993</v>
      </c>
      <c r="F42" s="16">
        <f t="shared" si="11"/>
        <v>39724.499999999993</v>
      </c>
      <c r="G42" s="16">
        <f t="shared" si="11"/>
        <v>40843.499999999993</v>
      </c>
    </row>
    <row r="43" spans="1:7">
      <c r="A43" s="257">
        <f t="shared" si="10"/>
        <v>5</v>
      </c>
      <c r="B43" s="16">
        <f t="shared" si="11"/>
        <v>38046</v>
      </c>
      <c r="C43" s="16">
        <f t="shared" si="11"/>
        <v>38232.5</v>
      </c>
      <c r="D43" s="16">
        <f t="shared" si="11"/>
        <v>38791.999999999993</v>
      </c>
      <c r="E43" s="16">
        <f t="shared" si="11"/>
        <v>39724.499999999993</v>
      </c>
      <c r="F43" s="16">
        <f t="shared" si="11"/>
        <v>40097.499999999993</v>
      </c>
      <c r="G43" s="16">
        <f t="shared" si="11"/>
        <v>41216.499999999993</v>
      </c>
    </row>
    <row r="44" spans="1:7">
      <c r="A44" s="257">
        <f t="shared" si="10"/>
        <v>6</v>
      </c>
      <c r="B44" s="16">
        <f t="shared" si="11"/>
        <v>38046</v>
      </c>
      <c r="C44" s="16">
        <f t="shared" si="11"/>
        <v>38232.5</v>
      </c>
      <c r="D44" s="16">
        <f t="shared" si="11"/>
        <v>38791.999999999993</v>
      </c>
      <c r="E44" s="16">
        <f t="shared" si="11"/>
        <v>39724.499999999993</v>
      </c>
      <c r="F44" s="16">
        <f t="shared" si="11"/>
        <v>40097.499999999993</v>
      </c>
      <c r="G44" s="16">
        <f t="shared" si="11"/>
        <v>41216.499999999993</v>
      </c>
    </row>
    <row r="45" spans="1:7">
      <c r="A45" s="257">
        <f t="shared" si="10"/>
        <v>7</v>
      </c>
      <c r="B45" s="16">
        <f t="shared" si="11"/>
        <v>38419</v>
      </c>
      <c r="C45" s="16">
        <f t="shared" si="11"/>
        <v>38605.5</v>
      </c>
      <c r="D45" s="16">
        <f t="shared" si="11"/>
        <v>39164.999999999993</v>
      </c>
      <c r="E45" s="16">
        <f t="shared" si="11"/>
        <v>40097.499999999993</v>
      </c>
      <c r="F45" s="16">
        <f t="shared" si="11"/>
        <v>40470.499999999993</v>
      </c>
      <c r="G45" s="16">
        <f t="shared" si="11"/>
        <v>41589.499999999993</v>
      </c>
    </row>
    <row r="46" spans="1:7">
      <c r="A46" s="257">
        <f t="shared" si="10"/>
        <v>8</v>
      </c>
      <c r="B46" s="16">
        <f t="shared" si="11"/>
        <v>38792</v>
      </c>
      <c r="C46" s="16">
        <f t="shared" si="11"/>
        <v>38978.5</v>
      </c>
      <c r="D46" s="16">
        <f t="shared" si="11"/>
        <v>39537.999999999993</v>
      </c>
      <c r="E46" s="16">
        <f t="shared" si="11"/>
        <v>40470.499999999993</v>
      </c>
      <c r="F46" s="16">
        <f t="shared" si="11"/>
        <v>40843.499999999993</v>
      </c>
      <c r="G46" s="16">
        <f t="shared" si="11"/>
        <v>41962.499999999993</v>
      </c>
    </row>
    <row r="47" spans="1:7">
      <c r="A47" s="257">
        <f t="shared" si="10"/>
        <v>9</v>
      </c>
      <c r="B47" s="16">
        <f t="shared" si="11"/>
        <v>40284</v>
      </c>
      <c r="C47" s="16">
        <f t="shared" si="11"/>
        <v>40470.5</v>
      </c>
      <c r="D47" s="16">
        <f t="shared" si="11"/>
        <v>41029.999999999993</v>
      </c>
      <c r="E47" s="16">
        <f t="shared" si="11"/>
        <v>41962.499999999993</v>
      </c>
      <c r="F47" s="16">
        <f t="shared" si="11"/>
        <v>42335.499999999993</v>
      </c>
      <c r="G47" s="16">
        <f t="shared" si="11"/>
        <v>43454.499999999993</v>
      </c>
    </row>
    <row r="48" spans="1:7">
      <c r="A48" s="257">
        <f t="shared" si="10"/>
        <v>10</v>
      </c>
      <c r="B48" s="16">
        <f t="shared" si="11"/>
        <v>40657</v>
      </c>
      <c r="C48" s="16">
        <f t="shared" si="11"/>
        <v>40843.5</v>
      </c>
      <c r="D48" s="16">
        <f t="shared" si="11"/>
        <v>41402.999999999993</v>
      </c>
      <c r="E48" s="16">
        <f t="shared" si="11"/>
        <v>42335.499999999993</v>
      </c>
      <c r="F48" s="16">
        <f t="shared" si="11"/>
        <v>42708.499999999993</v>
      </c>
      <c r="G48" s="16">
        <f t="shared" si="11"/>
        <v>43827.499999999993</v>
      </c>
    </row>
    <row r="49" spans="1:13">
      <c r="A49" s="257">
        <f t="shared" si="10"/>
        <v>11</v>
      </c>
      <c r="B49" s="16">
        <f t="shared" si="11"/>
        <v>41216.5</v>
      </c>
      <c r="C49" s="16">
        <f t="shared" si="11"/>
        <v>41402.999999999993</v>
      </c>
      <c r="D49" s="16">
        <f t="shared" si="11"/>
        <v>41962.499999999993</v>
      </c>
      <c r="E49" s="16">
        <f t="shared" si="11"/>
        <v>42894.999999999985</v>
      </c>
      <c r="F49" s="16">
        <f t="shared" si="11"/>
        <v>43267.999999999985</v>
      </c>
      <c r="G49" s="16">
        <f t="shared" si="11"/>
        <v>44386.999999999993</v>
      </c>
    </row>
    <row r="50" spans="1:13">
      <c r="A50" s="257">
        <f t="shared" si="10"/>
        <v>12</v>
      </c>
      <c r="B50" s="16">
        <f t="shared" si="11"/>
        <v>41962.5</v>
      </c>
      <c r="C50" s="16">
        <f t="shared" si="11"/>
        <v>42148.999999999993</v>
      </c>
      <c r="D50" s="16">
        <f t="shared" si="11"/>
        <v>42708.499999999993</v>
      </c>
      <c r="E50" s="16">
        <f t="shared" si="11"/>
        <v>43640.999999999985</v>
      </c>
      <c r="F50" s="16">
        <f t="shared" si="11"/>
        <v>44013.999999999993</v>
      </c>
      <c r="G50" s="16">
        <f t="shared" si="11"/>
        <v>45132.999999999993</v>
      </c>
    </row>
    <row r="51" spans="1:13">
      <c r="A51" s="257">
        <f t="shared" si="10"/>
        <v>13</v>
      </c>
      <c r="B51" s="16">
        <f t="shared" si="11"/>
        <v>42708.5</v>
      </c>
      <c r="C51" s="16">
        <f t="shared" si="11"/>
        <v>42895</v>
      </c>
      <c r="D51" s="16">
        <f t="shared" si="11"/>
        <v>43454.499999999993</v>
      </c>
      <c r="E51" s="16">
        <f t="shared" si="11"/>
        <v>44386.999999999993</v>
      </c>
      <c r="F51" s="16">
        <f t="shared" si="11"/>
        <v>44759.999999999993</v>
      </c>
      <c r="G51" s="16">
        <f t="shared" si="11"/>
        <v>45878.999999999993</v>
      </c>
    </row>
    <row r="52" spans="1:13">
      <c r="A52" s="257">
        <f t="shared" si="10"/>
        <v>14</v>
      </c>
      <c r="B52" s="16">
        <f t="shared" si="11"/>
        <v>43454.5</v>
      </c>
      <c r="C52" s="16">
        <f t="shared" si="11"/>
        <v>43641</v>
      </c>
      <c r="D52" s="16">
        <f t="shared" si="11"/>
        <v>44200.499999999993</v>
      </c>
      <c r="E52" s="16">
        <f t="shared" si="11"/>
        <v>45132.999999999993</v>
      </c>
      <c r="F52" s="16">
        <f t="shared" si="11"/>
        <v>45505.999999999993</v>
      </c>
      <c r="G52" s="16">
        <f t="shared" si="11"/>
        <v>46624.999999999993</v>
      </c>
    </row>
    <row r="53" spans="1:13">
      <c r="A53" s="257">
        <f t="shared" si="10"/>
        <v>15</v>
      </c>
      <c r="B53" s="16">
        <f t="shared" si="11"/>
        <v>44200.5</v>
      </c>
      <c r="C53" s="16">
        <f t="shared" si="11"/>
        <v>44387</v>
      </c>
      <c r="D53" s="16">
        <f t="shared" si="11"/>
        <v>44946.499999999993</v>
      </c>
      <c r="E53" s="16">
        <f t="shared" si="11"/>
        <v>45878.999999999993</v>
      </c>
      <c r="F53" s="16">
        <f t="shared" si="11"/>
        <v>46251.999999999993</v>
      </c>
      <c r="G53" s="16">
        <f t="shared" si="11"/>
        <v>47370.999999999993</v>
      </c>
    </row>
    <row r="54" spans="1:13">
      <c r="A54" s="257">
        <f t="shared" si="10"/>
        <v>16</v>
      </c>
      <c r="B54" s="16">
        <f t="shared" si="11"/>
        <v>44946.5</v>
      </c>
      <c r="C54" s="16">
        <f t="shared" si="11"/>
        <v>45133</v>
      </c>
      <c r="D54" s="16">
        <f t="shared" si="11"/>
        <v>45692.499999999993</v>
      </c>
      <c r="E54" s="16">
        <f t="shared" si="11"/>
        <v>46624.999999999993</v>
      </c>
      <c r="F54" s="16">
        <f t="shared" si="11"/>
        <v>46997.999999999993</v>
      </c>
      <c r="G54" s="16">
        <f t="shared" si="11"/>
        <v>48116.999999999993</v>
      </c>
    </row>
    <row r="55" spans="1:13">
      <c r="A55" s="257">
        <f t="shared" si="10"/>
        <v>17</v>
      </c>
      <c r="B55" s="16">
        <f t="shared" si="11"/>
        <v>45692.5</v>
      </c>
      <c r="C55" s="16">
        <f t="shared" si="11"/>
        <v>45879</v>
      </c>
      <c r="D55" s="16">
        <f t="shared" si="11"/>
        <v>46438.499999999993</v>
      </c>
      <c r="E55" s="16">
        <f t="shared" si="11"/>
        <v>47370.999999999993</v>
      </c>
      <c r="F55" s="16">
        <f t="shared" si="11"/>
        <v>47743.999999999993</v>
      </c>
      <c r="G55" s="16">
        <f t="shared" si="11"/>
        <v>48862.999999999993</v>
      </c>
    </row>
    <row r="56" spans="1:13">
      <c r="A56" s="257">
        <f t="shared" si="10"/>
        <v>18</v>
      </c>
      <c r="B56" s="16">
        <f t="shared" si="11"/>
        <v>46438.500000000007</v>
      </c>
      <c r="C56" s="16">
        <f t="shared" si="11"/>
        <v>46625</v>
      </c>
      <c r="D56" s="16">
        <f t="shared" si="11"/>
        <v>47184.499999999993</v>
      </c>
      <c r="E56" s="16">
        <f t="shared" si="11"/>
        <v>48116.999999999993</v>
      </c>
      <c r="F56" s="16">
        <f t="shared" si="11"/>
        <v>48489.999999999993</v>
      </c>
      <c r="G56" s="16">
        <f t="shared" si="11"/>
        <v>49608.999999999993</v>
      </c>
    </row>
    <row r="57" spans="1:13">
      <c r="A57" s="257">
        <f t="shared" si="10"/>
        <v>19</v>
      </c>
      <c r="B57" s="16">
        <f t="shared" si="11"/>
        <v>47184.500000000007</v>
      </c>
      <c r="C57" s="16">
        <f t="shared" si="11"/>
        <v>47371</v>
      </c>
      <c r="D57" s="16">
        <f t="shared" si="11"/>
        <v>47930.5</v>
      </c>
      <c r="E57" s="16">
        <f t="shared" si="11"/>
        <v>48862.999999999993</v>
      </c>
      <c r="F57" s="16">
        <f t="shared" si="11"/>
        <v>49235.999999999993</v>
      </c>
      <c r="G57" s="16">
        <f t="shared" si="11"/>
        <v>50354.999999999993</v>
      </c>
    </row>
    <row r="58" spans="1:13">
      <c r="A58" s="257">
        <f t="shared" si="10"/>
        <v>20</v>
      </c>
      <c r="B58" s="16">
        <f t="shared" si="11"/>
        <v>47930.500000000007</v>
      </c>
      <c r="C58" s="16">
        <f t="shared" si="11"/>
        <v>48117</v>
      </c>
      <c r="D58" s="16">
        <f t="shared" si="11"/>
        <v>48676.5</v>
      </c>
      <c r="E58" s="16">
        <f t="shared" si="11"/>
        <v>49608.999999999993</v>
      </c>
      <c r="F58" s="16">
        <f t="shared" si="11"/>
        <v>49981.999999999993</v>
      </c>
      <c r="G58" s="16">
        <f t="shared" si="11"/>
        <v>51100.999999999993</v>
      </c>
    </row>
    <row r="59" spans="1:13">
      <c r="A59" s="257">
        <f t="shared" si="10"/>
        <v>21</v>
      </c>
      <c r="B59" s="16">
        <f t="shared" si="11"/>
        <v>48676.500000000007</v>
      </c>
      <c r="C59" s="16">
        <f t="shared" si="11"/>
        <v>48863</v>
      </c>
      <c r="D59" s="16">
        <f t="shared" si="11"/>
        <v>49422.5</v>
      </c>
      <c r="E59" s="16">
        <f t="shared" si="11"/>
        <v>50354.999999999993</v>
      </c>
      <c r="F59" s="16">
        <f t="shared" si="11"/>
        <v>50727.999999999993</v>
      </c>
      <c r="G59" s="16">
        <f t="shared" si="11"/>
        <v>51846.999999999993</v>
      </c>
    </row>
    <row r="60" spans="1:13">
      <c r="A60" s="257">
        <f t="shared" si="10"/>
        <v>22</v>
      </c>
      <c r="B60" s="16">
        <f t="shared" si="11"/>
        <v>49422.500000000007</v>
      </c>
      <c r="C60" s="16">
        <f t="shared" si="11"/>
        <v>49609</v>
      </c>
      <c r="D60" s="16">
        <f t="shared" si="11"/>
        <v>50168.5</v>
      </c>
      <c r="E60" s="16">
        <f t="shared" si="11"/>
        <v>51100.999999999993</v>
      </c>
      <c r="F60" s="16">
        <f t="shared" si="11"/>
        <v>51473.999999999993</v>
      </c>
      <c r="G60" s="16">
        <f t="shared" si="11"/>
        <v>52593</v>
      </c>
    </row>
    <row r="63" spans="1:13" ht="18">
      <c r="A63" s="8" t="s">
        <v>13</v>
      </c>
      <c r="M63" s="323" t="s">
        <v>547</v>
      </c>
    </row>
    <row r="64" spans="1:13">
      <c r="E64" s="260">
        <v>0</v>
      </c>
      <c r="F64" s="76">
        <f t="shared" ref="F64:K64" si="12">IF(F65,E64+1,E64)</f>
        <v>1</v>
      </c>
      <c r="G64" s="76">
        <f t="shared" si="12"/>
        <v>2</v>
      </c>
      <c r="H64" s="76">
        <f t="shared" si="12"/>
        <v>3</v>
      </c>
      <c r="I64" s="76">
        <f t="shared" si="12"/>
        <v>4</v>
      </c>
      <c r="J64" s="76">
        <f t="shared" si="12"/>
        <v>5</v>
      </c>
      <c r="K64" s="76">
        <f t="shared" si="12"/>
        <v>6</v>
      </c>
    </row>
    <row r="65" spans="1:19">
      <c r="C65" s="424" t="s">
        <v>10</v>
      </c>
      <c r="D65" s="425"/>
      <c r="E65" s="75" t="b">
        <f>'PPA-Staff'!C47</f>
        <v>1</v>
      </c>
      <c r="F65" s="75" t="b">
        <f>'PPA-Staff'!D47</f>
        <v>1</v>
      </c>
      <c r="G65" s="75" t="b">
        <f>'PPA-Staff'!E47</f>
        <v>1</v>
      </c>
      <c r="H65" s="75" t="b">
        <f>'PPA-Staff'!F47</f>
        <v>1</v>
      </c>
      <c r="I65" s="75" t="b">
        <f>'PPA-Staff'!G47</f>
        <v>1</v>
      </c>
      <c r="J65" s="75" t="b">
        <f>'PPA-Staff'!H47</f>
        <v>1</v>
      </c>
      <c r="K65" s="75" t="b">
        <f>'PPA-Staff'!I47</f>
        <v>1</v>
      </c>
      <c r="M65" s="260">
        <f>'PPA-Staff'!C53</f>
        <v>10</v>
      </c>
      <c r="N65" s="260">
        <f>'PPA-Staff'!D53</f>
        <v>10</v>
      </c>
      <c r="O65" s="260">
        <f>'PPA-Staff'!E53</f>
        <v>10</v>
      </c>
      <c r="P65" s="260">
        <f>'PPA-Staff'!F53</f>
        <v>10</v>
      </c>
      <c r="Q65" s="260">
        <f>'PPA-Staff'!G53</f>
        <v>10</v>
      </c>
      <c r="R65" s="260">
        <f>'PPA-Staff'!H53</f>
        <v>10</v>
      </c>
      <c r="S65" s="260">
        <f>'PPA-Staff'!I53</f>
        <v>10</v>
      </c>
    </row>
    <row r="66" spans="1:19">
      <c r="C66" s="424" t="s">
        <v>112</v>
      </c>
      <c r="D66" s="425"/>
      <c r="E66" s="320">
        <f>'PPA-Staff'!C44</f>
        <v>37300</v>
      </c>
      <c r="F66" s="320">
        <f>'PPA-Staff'!D44</f>
        <v>37500</v>
      </c>
      <c r="G66" s="320">
        <f>'PPA-Staff'!E44</f>
        <v>37700</v>
      </c>
      <c r="H66" s="320">
        <f>'PPA-Staff'!F44</f>
        <v>37900</v>
      </c>
      <c r="I66" s="320">
        <f>'PPA-Staff'!G44</f>
        <v>38100</v>
      </c>
      <c r="J66" s="320">
        <f>'PPA-Staff'!H44</f>
        <v>38300</v>
      </c>
      <c r="K66" s="320">
        <f>'PPA-Staff'!I44</f>
        <v>38500</v>
      </c>
      <c r="M66" s="260">
        <f>'PPA-Staff'!C54</f>
        <v>7</v>
      </c>
      <c r="N66" s="260">
        <f>'PPA-Staff'!D54</f>
        <v>6</v>
      </c>
      <c r="O66" s="260">
        <f>'PPA-Staff'!E54</f>
        <v>6</v>
      </c>
      <c r="P66" s="260">
        <f>'PPA-Staff'!F54</f>
        <v>6</v>
      </c>
      <c r="Q66" s="260">
        <f>'PPA-Staff'!G54</f>
        <v>6</v>
      </c>
      <c r="R66" s="260">
        <f>'PPA-Staff'!H54</f>
        <v>6</v>
      </c>
      <c r="S66" s="260">
        <f>'PPA-Staff'!I54</f>
        <v>6</v>
      </c>
    </row>
    <row r="67" spans="1:19" ht="26.25">
      <c r="A67" s="17" t="s">
        <v>24</v>
      </c>
      <c r="B67" s="18" t="s">
        <v>25</v>
      </c>
      <c r="C67" s="18" t="s">
        <v>26</v>
      </c>
      <c r="D67" s="18" t="s">
        <v>27</v>
      </c>
      <c r="E67" s="321" t="s">
        <v>37</v>
      </c>
      <c r="F67" s="321" t="s">
        <v>38</v>
      </c>
      <c r="G67" s="321" t="s">
        <v>39</v>
      </c>
      <c r="H67" s="321" t="s">
        <v>104</v>
      </c>
      <c r="I67" s="321" t="s">
        <v>40</v>
      </c>
      <c r="J67" s="321" t="s">
        <v>105</v>
      </c>
      <c r="K67" s="321" t="s">
        <v>41</v>
      </c>
      <c r="M67" s="65" t="s">
        <v>125</v>
      </c>
      <c r="N67" s="65" t="s">
        <v>126</v>
      </c>
      <c r="O67" s="65" t="s">
        <v>127</v>
      </c>
      <c r="P67" s="65" t="s">
        <v>128</v>
      </c>
      <c r="Q67" s="65" t="s">
        <v>129</v>
      </c>
      <c r="R67" s="65" t="s">
        <v>130</v>
      </c>
      <c r="S67" s="65" t="s">
        <v>131</v>
      </c>
    </row>
    <row r="68" spans="1:19">
      <c r="A68" s="258">
        <v>2</v>
      </c>
      <c r="B68" s="259">
        <v>18</v>
      </c>
      <c r="C68" s="259">
        <v>2</v>
      </c>
      <c r="D68" s="259">
        <v>1</v>
      </c>
      <c r="E68" s="311">
        <f t="shared" ref="E68:K77" si="13">((VLOOKUP($B68+E$64,$A$6:$G$27,$C68+1))*E$66)*$D68</f>
        <v>46625</v>
      </c>
      <c r="F68" s="311">
        <f t="shared" si="13"/>
        <v>47625</v>
      </c>
      <c r="G68" s="311">
        <f t="shared" si="13"/>
        <v>48633</v>
      </c>
      <c r="H68" s="311">
        <f t="shared" si="13"/>
        <v>49649</v>
      </c>
      <c r="I68" s="311">
        <f t="shared" si="13"/>
        <v>50673</v>
      </c>
      <c r="J68" s="311">
        <f t="shared" si="13"/>
        <v>50939</v>
      </c>
      <c r="K68" s="311">
        <f t="shared" si="13"/>
        <v>51205</v>
      </c>
      <c r="M68" s="66">
        <f>(E68/194)*(M$65-M$66)</f>
        <v>721.00515463917532</v>
      </c>
      <c r="N68" s="66">
        <f t="shared" ref="N68:S83" si="14">(F68/194)*(N$65-N$66)</f>
        <v>981.95876288659792</v>
      </c>
      <c r="O68" s="66">
        <f t="shared" si="14"/>
        <v>1002.7422680412371</v>
      </c>
      <c r="P68" s="66">
        <f t="shared" si="14"/>
        <v>1023.6907216494845</v>
      </c>
      <c r="Q68" s="66">
        <f t="shared" si="14"/>
        <v>1044.8041237113403</v>
      </c>
      <c r="R68" s="66">
        <f t="shared" si="14"/>
        <v>1050.2886597938145</v>
      </c>
      <c r="S68" s="66">
        <f t="shared" si="14"/>
        <v>1055.7731958762886</v>
      </c>
    </row>
    <row r="69" spans="1:19">
      <c r="A69" s="258">
        <v>54</v>
      </c>
      <c r="B69" s="259">
        <v>2</v>
      </c>
      <c r="C69" s="259">
        <v>2</v>
      </c>
      <c r="D69" s="259">
        <v>1</v>
      </c>
      <c r="E69" s="311">
        <f t="shared" si="13"/>
        <v>37486.499999999993</v>
      </c>
      <c r="F69" s="311">
        <f t="shared" si="13"/>
        <v>37687.499999999993</v>
      </c>
      <c r="G69" s="311">
        <f t="shared" si="13"/>
        <v>38265.499999999993</v>
      </c>
      <c r="H69" s="311">
        <f t="shared" si="13"/>
        <v>38847.5</v>
      </c>
      <c r="I69" s="311">
        <f t="shared" si="13"/>
        <v>39052.5</v>
      </c>
      <c r="J69" s="311">
        <f t="shared" si="13"/>
        <v>39640.5</v>
      </c>
      <c r="K69" s="311">
        <f t="shared" si="13"/>
        <v>40232.5</v>
      </c>
      <c r="M69" s="66">
        <f t="shared" ref="M69:M85" si="15">(E69/194)*(M$65-M$66)</f>
        <v>579.68814432989677</v>
      </c>
      <c r="N69" s="66">
        <f t="shared" si="14"/>
        <v>777.06185567010289</v>
      </c>
      <c r="O69" s="66">
        <f t="shared" si="14"/>
        <v>788.97938144329885</v>
      </c>
      <c r="P69" s="66">
        <f t="shared" si="14"/>
        <v>800.97938144329896</v>
      </c>
      <c r="Q69" s="66">
        <f t="shared" si="14"/>
        <v>805.20618556701027</v>
      </c>
      <c r="R69" s="66">
        <f t="shared" si="14"/>
        <v>817.32989690721649</v>
      </c>
      <c r="S69" s="66">
        <f t="shared" si="14"/>
        <v>829.53608247422676</v>
      </c>
    </row>
    <row r="70" spans="1:19">
      <c r="A70" s="258">
        <v>4</v>
      </c>
      <c r="B70" s="259">
        <v>9</v>
      </c>
      <c r="C70" s="259">
        <v>2</v>
      </c>
      <c r="D70" s="259">
        <v>1</v>
      </c>
      <c r="E70" s="311">
        <f t="shared" si="13"/>
        <v>40470.5</v>
      </c>
      <c r="F70" s="311">
        <f t="shared" si="13"/>
        <v>41062.5</v>
      </c>
      <c r="G70" s="311">
        <f t="shared" si="13"/>
        <v>41846.999999999993</v>
      </c>
      <c r="H70" s="311">
        <f t="shared" si="13"/>
        <v>42826.999999999993</v>
      </c>
      <c r="I70" s="311">
        <f t="shared" si="13"/>
        <v>43815</v>
      </c>
      <c r="J70" s="311">
        <f t="shared" si="13"/>
        <v>44811</v>
      </c>
      <c r="K70" s="311">
        <f t="shared" si="13"/>
        <v>45815</v>
      </c>
      <c r="M70" s="66">
        <f t="shared" si="15"/>
        <v>625.83247422680415</v>
      </c>
      <c r="N70" s="66">
        <f t="shared" si="14"/>
        <v>846.64948453608247</v>
      </c>
      <c r="O70" s="66">
        <f t="shared" si="14"/>
        <v>862.82474226804106</v>
      </c>
      <c r="P70" s="66">
        <f t="shared" si="14"/>
        <v>883.03092783505144</v>
      </c>
      <c r="Q70" s="66">
        <f t="shared" si="14"/>
        <v>903.40206185567013</v>
      </c>
      <c r="R70" s="66">
        <f t="shared" si="14"/>
        <v>923.93814432989689</v>
      </c>
      <c r="S70" s="66">
        <f t="shared" si="14"/>
        <v>944.63917525773195</v>
      </c>
    </row>
    <row r="71" spans="1:19">
      <c r="A71" s="258">
        <v>40</v>
      </c>
      <c r="B71" s="259">
        <v>5</v>
      </c>
      <c r="C71" s="259">
        <v>4</v>
      </c>
      <c r="D71" s="259">
        <v>1</v>
      </c>
      <c r="E71" s="311">
        <f t="shared" si="13"/>
        <v>39724.499999999993</v>
      </c>
      <c r="F71" s="311">
        <f t="shared" si="13"/>
        <v>39937.499999999993</v>
      </c>
      <c r="G71" s="311">
        <f t="shared" si="13"/>
        <v>40527.499999999993</v>
      </c>
      <c r="H71" s="311">
        <f t="shared" si="13"/>
        <v>41121.499999999993</v>
      </c>
      <c r="I71" s="311">
        <f t="shared" si="13"/>
        <v>42862.499999999993</v>
      </c>
      <c r="J71" s="311">
        <f t="shared" si="13"/>
        <v>43470.499999999993</v>
      </c>
      <c r="K71" s="311">
        <f t="shared" si="13"/>
        <v>44274.999999999985</v>
      </c>
      <c r="M71" s="66">
        <f t="shared" si="15"/>
        <v>614.29639175257716</v>
      </c>
      <c r="N71" s="66">
        <f t="shared" si="14"/>
        <v>823.45360824742249</v>
      </c>
      <c r="O71" s="66">
        <f t="shared" si="14"/>
        <v>835.6185567010308</v>
      </c>
      <c r="P71" s="66">
        <f t="shared" si="14"/>
        <v>847.86597938144314</v>
      </c>
      <c r="Q71" s="66">
        <f t="shared" si="14"/>
        <v>883.76288659793795</v>
      </c>
      <c r="R71" s="66">
        <f t="shared" si="14"/>
        <v>896.29896907216482</v>
      </c>
      <c r="S71" s="66">
        <f t="shared" si="14"/>
        <v>912.88659793814406</v>
      </c>
    </row>
    <row r="72" spans="1:19">
      <c r="A72" s="258">
        <v>6</v>
      </c>
      <c r="B72" s="259">
        <v>10</v>
      </c>
      <c r="C72" s="259">
        <v>2</v>
      </c>
      <c r="D72" s="259">
        <v>1</v>
      </c>
      <c r="E72" s="311">
        <f t="shared" si="13"/>
        <v>40843.5</v>
      </c>
      <c r="F72" s="311">
        <f t="shared" si="13"/>
        <v>41624.999999999993</v>
      </c>
      <c r="G72" s="311">
        <f t="shared" si="13"/>
        <v>42600.999999999993</v>
      </c>
      <c r="H72" s="311">
        <f t="shared" si="13"/>
        <v>43585</v>
      </c>
      <c r="I72" s="311">
        <f t="shared" si="13"/>
        <v>44577</v>
      </c>
      <c r="J72" s="311">
        <f t="shared" si="13"/>
        <v>45577</v>
      </c>
      <c r="K72" s="311">
        <f t="shared" si="13"/>
        <v>46585</v>
      </c>
      <c r="M72" s="66">
        <f t="shared" si="15"/>
        <v>631.60051546391753</v>
      </c>
      <c r="N72" s="66">
        <f t="shared" si="14"/>
        <v>858.24742268041223</v>
      </c>
      <c r="O72" s="66">
        <f t="shared" si="14"/>
        <v>878.37113402061846</v>
      </c>
      <c r="P72" s="66">
        <f t="shared" si="14"/>
        <v>898.65979381443299</v>
      </c>
      <c r="Q72" s="66">
        <f t="shared" si="14"/>
        <v>919.11340206185571</v>
      </c>
      <c r="R72" s="66">
        <f t="shared" si="14"/>
        <v>939.73195876288662</v>
      </c>
      <c r="S72" s="66">
        <f t="shared" si="14"/>
        <v>960.51546391752572</v>
      </c>
    </row>
    <row r="73" spans="1:19">
      <c r="A73" s="258">
        <v>32</v>
      </c>
      <c r="B73" s="259">
        <v>4</v>
      </c>
      <c r="C73" s="259">
        <v>1</v>
      </c>
      <c r="D73" s="259">
        <v>1</v>
      </c>
      <c r="E73" s="311">
        <f t="shared" si="13"/>
        <v>37673</v>
      </c>
      <c r="F73" s="311">
        <f t="shared" si="13"/>
        <v>38250</v>
      </c>
      <c r="G73" s="311">
        <f t="shared" si="13"/>
        <v>38454</v>
      </c>
      <c r="H73" s="311">
        <f t="shared" si="13"/>
        <v>39037</v>
      </c>
      <c r="I73" s="311">
        <f t="shared" si="13"/>
        <v>39624</v>
      </c>
      <c r="J73" s="311">
        <f t="shared" si="13"/>
        <v>41364</v>
      </c>
      <c r="K73" s="311">
        <f t="shared" si="13"/>
        <v>41965</v>
      </c>
      <c r="M73" s="66">
        <f t="shared" si="15"/>
        <v>582.57216494845363</v>
      </c>
      <c r="N73" s="66">
        <f t="shared" si="14"/>
        <v>788.65979381443299</v>
      </c>
      <c r="O73" s="66">
        <f t="shared" si="14"/>
        <v>792.86597938144325</v>
      </c>
      <c r="P73" s="66">
        <f t="shared" si="14"/>
        <v>804.88659793814429</v>
      </c>
      <c r="Q73" s="66">
        <f t="shared" si="14"/>
        <v>816.98969072164948</v>
      </c>
      <c r="R73" s="66">
        <f t="shared" si="14"/>
        <v>852.86597938144325</v>
      </c>
      <c r="S73" s="66">
        <f t="shared" si="14"/>
        <v>865.25773195876286</v>
      </c>
    </row>
    <row r="74" spans="1:19">
      <c r="A74" s="258">
        <v>47</v>
      </c>
      <c r="B74" s="259">
        <v>7</v>
      </c>
      <c r="C74" s="259">
        <v>3</v>
      </c>
      <c r="D74" s="259">
        <v>1</v>
      </c>
      <c r="E74" s="311">
        <f t="shared" si="13"/>
        <v>39164.999999999993</v>
      </c>
      <c r="F74" s="311">
        <f t="shared" si="13"/>
        <v>39749.999999999993</v>
      </c>
      <c r="G74" s="311">
        <f t="shared" si="13"/>
        <v>41469.999999999993</v>
      </c>
      <c r="H74" s="311">
        <f t="shared" si="13"/>
        <v>42068.999999999993</v>
      </c>
      <c r="I74" s="311">
        <f t="shared" si="13"/>
        <v>42862.499999999993</v>
      </c>
      <c r="J74" s="311">
        <f t="shared" si="13"/>
        <v>43853.499999999993</v>
      </c>
      <c r="K74" s="311">
        <f t="shared" si="13"/>
        <v>44852.499999999993</v>
      </c>
      <c r="M74" s="66">
        <f t="shared" si="15"/>
        <v>605.64432989690704</v>
      </c>
      <c r="N74" s="66">
        <f t="shared" si="14"/>
        <v>819.58762886597924</v>
      </c>
      <c r="O74" s="66">
        <f t="shared" si="14"/>
        <v>855.05154639175248</v>
      </c>
      <c r="P74" s="66">
        <f t="shared" si="14"/>
        <v>867.4020618556699</v>
      </c>
      <c r="Q74" s="66">
        <f t="shared" si="14"/>
        <v>883.76288659793795</v>
      </c>
      <c r="R74" s="66">
        <f t="shared" si="14"/>
        <v>904.19587628865963</v>
      </c>
      <c r="S74" s="66">
        <f t="shared" si="14"/>
        <v>924.79381443298951</v>
      </c>
    </row>
    <row r="75" spans="1:19">
      <c r="A75" s="258">
        <v>10</v>
      </c>
      <c r="B75" s="259">
        <v>6</v>
      </c>
      <c r="C75" s="259">
        <v>3</v>
      </c>
      <c r="D75" s="259">
        <v>1</v>
      </c>
      <c r="E75" s="311">
        <f t="shared" si="13"/>
        <v>38791.999999999993</v>
      </c>
      <c r="F75" s="311">
        <f t="shared" si="13"/>
        <v>39374.999999999993</v>
      </c>
      <c r="G75" s="311">
        <f t="shared" si="13"/>
        <v>39961.999999999993</v>
      </c>
      <c r="H75" s="311">
        <f t="shared" si="13"/>
        <v>41689.999999999993</v>
      </c>
      <c r="I75" s="311">
        <f t="shared" si="13"/>
        <v>42290.999999999993</v>
      </c>
      <c r="J75" s="311">
        <f t="shared" si="13"/>
        <v>43087.499999999993</v>
      </c>
      <c r="K75" s="311">
        <f t="shared" si="13"/>
        <v>44082.499999999993</v>
      </c>
      <c r="M75" s="66">
        <f t="shared" si="15"/>
        <v>599.87628865979366</v>
      </c>
      <c r="N75" s="66">
        <f t="shared" si="14"/>
        <v>811.85567010309262</v>
      </c>
      <c r="O75" s="66">
        <f t="shared" si="14"/>
        <v>823.95876288659781</v>
      </c>
      <c r="P75" s="66">
        <f t="shared" si="14"/>
        <v>859.58762886597924</v>
      </c>
      <c r="Q75" s="66">
        <f t="shared" si="14"/>
        <v>871.97938144329885</v>
      </c>
      <c r="R75" s="66">
        <f t="shared" si="14"/>
        <v>888.4020618556699</v>
      </c>
      <c r="S75" s="66">
        <f t="shared" si="14"/>
        <v>908.91752577319573</v>
      </c>
    </row>
    <row r="76" spans="1:19">
      <c r="A76" s="258">
        <v>55</v>
      </c>
      <c r="B76" s="259">
        <v>2</v>
      </c>
      <c r="C76" s="259">
        <v>2</v>
      </c>
      <c r="D76" s="259">
        <v>1</v>
      </c>
      <c r="E76" s="311">
        <f t="shared" si="13"/>
        <v>37486.499999999993</v>
      </c>
      <c r="F76" s="311">
        <f t="shared" si="13"/>
        <v>37687.499999999993</v>
      </c>
      <c r="G76" s="311">
        <f t="shared" si="13"/>
        <v>38265.499999999993</v>
      </c>
      <c r="H76" s="311">
        <f t="shared" si="13"/>
        <v>38847.5</v>
      </c>
      <c r="I76" s="311">
        <f t="shared" si="13"/>
        <v>39052.5</v>
      </c>
      <c r="J76" s="311">
        <f t="shared" si="13"/>
        <v>39640.5</v>
      </c>
      <c r="K76" s="311">
        <f t="shared" si="13"/>
        <v>40232.5</v>
      </c>
      <c r="M76" s="66">
        <f t="shared" si="15"/>
        <v>579.68814432989677</v>
      </c>
      <c r="N76" s="66">
        <f t="shared" si="14"/>
        <v>777.06185567010289</v>
      </c>
      <c r="O76" s="66">
        <f t="shared" si="14"/>
        <v>788.97938144329885</v>
      </c>
      <c r="P76" s="66">
        <f t="shared" si="14"/>
        <v>800.97938144329896</v>
      </c>
      <c r="Q76" s="66">
        <f t="shared" si="14"/>
        <v>805.20618556701027</v>
      </c>
      <c r="R76" s="66">
        <f t="shared" si="14"/>
        <v>817.32989690721649</v>
      </c>
      <c r="S76" s="66">
        <f t="shared" si="14"/>
        <v>829.53608247422676</v>
      </c>
    </row>
    <row r="77" spans="1:19">
      <c r="A77" s="258">
        <v>29</v>
      </c>
      <c r="B77" s="259">
        <v>3</v>
      </c>
      <c r="C77" s="259">
        <v>2</v>
      </c>
      <c r="D77" s="259">
        <v>1</v>
      </c>
      <c r="E77" s="311">
        <f t="shared" si="13"/>
        <v>37486.499999999993</v>
      </c>
      <c r="F77" s="311">
        <f t="shared" si="13"/>
        <v>38062.499999999993</v>
      </c>
      <c r="G77" s="311">
        <f t="shared" si="13"/>
        <v>38642.5</v>
      </c>
      <c r="H77" s="311">
        <f t="shared" si="13"/>
        <v>38847.5</v>
      </c>
      <c r="I77" s="311">
        <f t="shared" si="13"/>
        <v>39433.5</v>
      </c>
      <c r="J77" s="311">
        <f t="shared" si="13"/>
        <v>40023.5</v>
      </c>
      <c r="K77" s="311">
        <f t="shared" si="13"/>
        <v>41772.5</v>
      </c>
      <c r="M77" s="66">
        <f t="shared" si="15"/>
        <v>579.68814432989677</v>
      </c>
      <c r="N77" s="66">
        <f t="shared" si="14"/>
        <v>784.79381443298951</v>
      </c>
      <c r="O77" s="66">
        <f t="shared" si="14"/>
        <v>796.75257731958766</v>
      </c>
      <c r="P77" s="66">
        <f t="shared" si="14"/>
        <v>800.97938144329896</v>
      </c>
      <c r="Q77" s="66">
        <f t="shared" si="14"/>
        <v>813.06185567010311</v>
      </c>
      <c r="R77" s="66">
        <f t="shared" si="14"/>
        <v>825.2268041237113</v>
      </c>
      <c r="S77" s="66">
        <f t="shared" si="14"/>
        <v>861.28865979381442</v>
      </c>
    </row>
    <row r="78" spans="1:19">
      <c r="A78" s="258">
        <v>11</v>
      </c>
      <c r="B78" s="259">
        <v>16</v>
      </c>
      <c r="C78" s="259">
        <v>5</v>
      </c>
      <c r="D78" s="259">
        <v>1</v>
      </c>
      <c r="E78" s="311">
        <f t="shared" ref="E78:K85" si="16">((VLOOKUP($B78+E$64,$A$6:$G$27,$C78+1))*E$66)*$D78</f>
        <v>46997.999999999993</v>
      </c>
      <c r="F78" s="311">
        <f t="shared" si="16"/>
        <v>47999.999999999993</v>
      </c>
      <c r="G78" s="311">
        <f t="shared" si="16"/>
        <v>49009.999999999993</v>
      </c>
      <c r="H78" s="311">
        <f t="shared" si="16"/>
        <v>50027.999999999993</v>
      </c>
      <c r="I78" s="311">
        <f t="shared" si="16"/>
        <v>51053.999999999993</v>
      </c>
      <c r="J78" s="311">
        <f t="shared" si="16"/>
        <v>52087.999999999993</v>
      </c>
      <c r="K78" s="311">
        <f t="shared" si="16"/>
        <v>53129.999999999993</v>
      </c>
      <c r="M78" s="66">
        <f t="shared" si="15"/>
        <v>726.77319587628858</v>
      </c>
      <c r="N78" s="66">
        <f t="shared" si="14"/>
        <v>989.69072164948443</v>
      </c>
      <c r="O78" s="66">
        <f t="shared" si="14"/>
        <v>1010.5154639175256</v>
      </c>
      <c r="P78" s="66">
        <f t="shared" si="14"/>
        <v>1031.5051546391751</v>
      </c>
      <c r="Q78" s="66">
        <f t="shared" si="14"/>
        <v>1052.6597938144328</v>
      </c>
      <c r="R78" s="66">
        <f t="shared" si="14"/>
        <v>1073.9793814432987</v>
      </c>
      <c r="S78" s="66">
        <f t="shared" si="14"/>
        <v>1095.463917525773</v>
      </c>
    </row>
    <row r="79" spans="1:19">
      <c r="A79" s="258">
        <v>13</v>
      </c>
      <c r="B79" s="259">
        <v>5</v>
      </c>
      <c r="C79" s="259">
        <v>2</v>
      </c>
      <c r="D79" s="259">
        <v>1</v>
      </c>
      <c r="E79" s="311">
        <f t="shared" si="16"/>
        <v>38232.5</v>
      </c>
      <c r="F79" s="311">
        <f t="shared" si="16"/>
        <v>38437.5</v>
      </c>
      <c r="G79" s="311">
        <f t="shared" si="16"/>
        <v>39019.5</v>
      </c>
      <c r="H79" s="311">
        <f t="shared" si="16"/>
        <v>39605.5</v>
      </c>
      <c r="I79" s="311">
        <f t="shared" si="16"/>
        <v>41338.5</v>
      </c>
      <c r="J79" s="311">
        <f t="shared" si="16"/>
        <v>41938.5</v>
      </c>
      <c r="K79" s="311">
        <f t="shared" si="16"/>
        <v>42734.999999999993</v>
      </c>
      <c r="M79" s="66">
        <f t="shared" si="15"/>
        <v>591.22422680412365</v>
      </c>
      <c r="N79" s="66">
        <f t="shared" si="14"/>
        <v>792.52577319587624</v>
      </c>
      <c r="O79" s="66">
        <f t="shared" si="14"/>
        <v>804.52577319587624</v>
      </c>
      <c r="P79" s="66">
        <f t="shared" si="14"/>
        <v>816.60824742268039</v>
      </c>
      <c r="Q79" s="66">
        <f t="shared" si="14"/>
        <v>852.34020618556701</v>
      </c>
      <c r="R79" s="66">
        <f t="shared" si="14"/>
        <v>864.71134020618558</v>
      </c>
      <c r="S79" s="66">
        <f t="shared" si="14"/>
        <v>881.13402061855652</v>
      </c>
    </row>
    <row r="80" spans="1:19">
      <c r="A80" s="258">
        <v>14</v>
      </c>
      <c r="B80" s="259">
        <v>11</v>
      </c>
      <c r="C80" s="259">
        <v>4</v>
      </c>
      <c r="D80" s="259">
        <v>1</v>
      </c>
      <c r="E80" s="311">
        <f t="shared" si="16"/>
        <v>42894.999999999985</v>
      </c>
      <c r="F80" s="311">
        <f t="shared" si="16"/>
        <v>43874.999999999985</v>
      </c>
      <c r="G80" s="311">
        <f t="shared" si="16"/>
        <v>44862.999999999993</v>
      </c>
      <c r="H80" s="311">
        <f t="shared" si="16"/>
        <v>45858.999999999993</v>
      </c>
      <c r="I80" s="311">
        <f t="shared" si="16"/>
        <v>46862.999999999993</v>
      </c>
      <c r="J80" s="311">
        <f t="shared" si="16"/>
        <v>47874.999999999993</v>
      </c>
      <c r="K80" s="311">
        <f t="shared" si="16"/>
        <v>48894.999999999993</v>
      </c>
      <c r="M80" s="66">
        <f t="shared" si="15"/>
        <v>663.32474226804106</v>
      </c>
      <c r="N80" s="66">
        <f t="shared" si="14"/>
        <v>904.63917525773161</v>
      </c>
      <c r="O80" s="66">
        <f t="shared" si="14"/>
        <v>925.01030927835041</v>
      </c>
      <c r="P80" s="66">
        <f t="shared" si="14"/>
        <v>945.54639175257716</v>
      </c>
      <c r="Q80" s="66">
        <f t="shared" si="14"/>
        <v>966.24742268041223</v>
      </c>
      <c r="R80" s="66">
        <f t="shared" si="14"/>
        <v>987.11340206185548</v>
      </c>
      <c r="S80" s="66">
        <f t="shared" si="14"/>
        <v>1008.144329896907</v>
      </c>
    </row>
    <row r="81" spans="1:19">
      <c r="A81" s="258">
        <v>49</v>
      </c>
      <c r="B81" s="259">
        <v>13</v>
      </c>
      <c r="C81" s="259">
        <v>4</v>
      </c>
      <c r="D81" s="259">
        <v>1</v>
      </c>
      <c r="E81" s="311">
        <f t="shared" si="16"/>
        <v>44386.999999999993</v>
      </c>
      <c r="F81" s="311">
        <f t="shared" si="16"/>
        <v>45374.999999999993</v>
      </c>
      <c r="G81" s="311">
        <f t="shared" si="16"/>
        <v>46370.999999999993</v>
      </c>
      <c r="H81" s="311">
        <f t="shared" si="16"/>
        <v>47374.999999999993</v>
      </c>
      <c r="I81" s="311">
        <f t="shared" si="16"/>
        <v>48386.999999999993</v>
      </c>
      <c r="J81" s="311">
        <f t="shared" si="16"/>
        <v>49406.999999999993</v>
      </c>
      <c r="K81" s="311">
        <f t="shared" si="16"/>
        <v>50434.999999999993</v>
      </c>
      <c r="M81" s="66">
        <f t="shared" si="15"/>
        <v>686.3969072164947</v>
      </c>
      <c r="N81" s="66">
        <f t="shared" si="14"/>
        <v>935.5670103092782</v>
      </c>
      <c r="O81" s="66">
        <f t="shared" si="14"/>
        <v>956.10309278350496</v>
      </c>
      <c r="P81" s="66">
        <f t="shared" si="14"/>
        <v>976.80412371134003</v>
      </c>
      <c r="Q81" s="66">
        <f t="shared" si="14"/>
        <v>997.67010309278339</v>
      </c>
      <c r="R81" s="66">
        <f t="shared" si="14"/>
        <v>1018.7010309278349</v>
      </c>
      <c r="S81" s="66">
        <f t="shared" si="14"/>
        <v>1039.8969072164946</v>
      </c>
    </row>
    <row r="82" spans="1:19">
      <c r="A82" s="258">
        <v>15</v>
      </c>
      <c r="B82" s="259">
        <v>7</v>
      </c>
      <c r="C82" s="259">
        <v>2</v>
      </c>
      <c r="D82" s="259">
        <v>1</v>
      </c>
      <c r="E82" s="311">
        <f t="shared" si="16"/>
        <v>38605.5</v>
      </c>
      <c r="F82" s="311">
        <f t="shared" si="16"/>
        <v>39187.5</v>
      </c>
      <c r="G82" s="311">
        <f t="shared" si="16"/>
        <v>40904.5</v>
      </c>
      <c r="H82" s="311">
        <f t="shared" si="16"/>
        <v>41500.5</v>
      </c>
      <c r="I82" s="311">
        <f t="shared" si="16"/>
        <v>42290.999999999993</v>
      </c>
      <c r="J82" s="311">
        <f t="shared" si="16"/>
        <v>43278.999999999993</v>
      </c>
      <c r="K82" s="311">
        <f t="shared" si="16"/>
        <v>44275</v>
      </c>
      <c r="M82" s="66">
        <f t="shared" si="15"/>
        <v>596.99226804123714</v>
      </c>
      <c r="N82" s="66">
        <f t="shared" si="14"/>
        <v>807.98969072164948</v>
      </c>
      <c r="O82" s="66">
        <f t="shared" si="14"/>
        <v>843.39175257731961</v>
      </c>
      <c r="P82" s="66">
        <f t="shared" si="14"/>
        <v>855.68041237113403</v>
      </c>
      <c r="Q82" s="66">
        <f t="shared" si="14"/>
        <v>871.97938144329885</v>
      </c>
      <c r="R82" s="66">
        <f t="shared" si="14"/>
        <v>892.35051546391742</v>
      </c>
      <c r="S82" s="66">
        <f t="shared" si="14"/>
        <v>912.88659793814429</v>
      </c>
    </row>
    <row r="83" spans="1:19">
      <c r="A83" s="258">
        <v>18</v>
      </c>
      <c r="B83" s="259">
        <v>10</v>
      </c>
      <c r="C83" s="259">
        <v>2</v>
      </c>
      <c r="D83" s="259">
        <v>1</v>
      </c>
      <c r="E83" s="311">
        <f t="shared" si="16"/>
        <v>40843.5</v>
      </c>
      <c r="F83" s="311">
        <f t="shared" si="16"/>
        <v>41624.999999999993</v>
      </c>
      <c r="G83" s="311">
        <f t="shared" si="16"/>
        <v>42600.999999999993</v>
      </c>
      <c r="H83" s="311">
        <f t="shared" si="16"/>
        <v>43585</v>
      </c>
      <c r="I83" s="311">
        <f t="shared" si="16"/>
        <v>44577</v>
      </c>
      <c r="J83" s="311">
        <f t="shared" si="16"/>
        <v>45577</v>
      </c>
      <c r="K83" s="311">
        <f t="shared" si="16"/>
        <v>46585</v>
      </c>
      <c r="M83" s="66">
        <f t="shared" si="15"/>
        <v>631.60051546391753</v>
      </c>
      <c r="N83" s="66">
        <f t="shared" si="14"/>
        <v>858.24742268041223</v>
      </c>
      <c r="O83" s="66">
        <f t="shared" si="14"/>
        <v>878.37113402061846</v>
      </c>
      <c r="P83" s="66">
        <f t="shared" si="14"/>
        <v>898.65979381443299</v>
      </c>
      <c r="Q83" s="66">
        <f t="shared" si="14"/>
        <v>919.11340206185571</v>
      </c>
      <c r="R83" s="66">
        <f t="shared" si="14"/>
        <v>939.73195876288662</v>
      </c>
      <c r="S83" s="66">
        <f t="shared" si="14"/>
        <v>960.51546391752572</v>
      </c>
    </row>
    <row r="84" spans="1:19">
      <c r="A84" s="258">
        <v>20</v>
      </c>
      <c r="B84" s="259">
        <v>4</v>
      </c>
      <c r="C84" s="259">
        <v>2</v>
      </c>
      <c r="D84" s="259">
        <v>1</v>
      </c>
      <c r="E84" s="311">
        <f t="shared" si="16"/>
        <v>37859.499999999993</v>
      </c>
      <c r="F84" s="311">
        <f t="shared" si="16"/>
        <v>38437.5</v>
      </c>
      <c r="G84" s="311">
        <f t="shared" si="16"/>
        <v>38642.5</v>
      </c>
      <c r="H84" s="311">
        <f t="shared" si="16"/>
        <v>39226.5</v>
      </c>
      <c r="I84" s="311">
        <f t="shared" si="16"/>
        <v>39814.5</v>
      </c>
      <c r="J84" s="311">
        <f t="shared" si="16"/>
        <v>41555.5</v>
      </c>
      <c r="K84" s="311">
        <f t="shared" si="16"/>
        <v>42157.5</v>
      </c>
      <c r="M84" s="66">
        <f t="shared" si="15"/>
        <v>585.45618556701015</v>
      </c>
      <c r="N84" s="66">
        <f t="shared" ref="N84:S85" si="17">(F84/194)*(N$65-N$66)</f>
        <v>792.52577319587624</v>
      </c>
      <c r="O84" s="66">
        <f t="shared" si="17"/>
        <v>796.75257731958766</v>
      </c>
      <c r="P84" s="66">
        <f t="shared" si="17"/>
        <v>808.79381443298973</v>
      </c>
      <c r="Q84" s="66">
        <f t="shared" si="17"/>
        <v>820.91752577319585</v>
      </c>
      <c r="R84" s="66">
        <f t="shared" si="17"/>
        <v>856.81443298969077</v>
      </c>
      <c r="S84" s="66">
        <f t="shared" si="17"/>
        <v>869.2268041237113</v>
      </c>
    </row>
    <row r="85" spans="1:19">
      <c r="A85" s="258">
        <v>21</v>
      </c>
      <c r="B85" s="259">
        <v>17</v>
      </c>
      <c r="C85" s="259">
        <v>2</v>
      </c>
      <c r="D85" s="259">
        <v>1</v>
      </c>
      <c r="E85" s="311">
        <f t="shared" si="16"/>
        <v>45879</v>
      </c>
      <c r="F85" s="311">
        <f t="shared" si="16"/>
        <v>46875</v>
      </c>
      <c r="G85" s="311">
        <f t="shared" si="16"/>
        <v>47879</v>
      </c>
      <c r="H85" s="311">
        <f t="shared" si="16"/>
        <v>48891</v>
      </c>
      <c r="I85" s="311">
        <f t="shared" si="16"/>
        <v>49911</v>
      </c>
      <c r="J85" s="311">
        <f t="shared" si="16"/>
        <v>50939</v>
      </c>
      <c r="K85" s="311">
        <f t="shared" si="16"/>
        <v>51205</v>
      </c>
      <c r="M85" s="66">
        <f t="shared" si="15"/>
        <v>709.46907216494844</v>
      </c>
      <c r="N85" s="66">
        <f t="shared" si="17"/>
        <v>966.4948453608248</v>
      </c>
      <c r="O85" s="66">
        <f t="shared" si="17"/>
        <v>987.19587628865975</v>
      </c>
      <c r="P85" s="66">
        <f t="shared" si="17"/>
        <v>1008.0618556701031</v>
      </c>
      <c r="Q85" s="66">
        <f t="shared" si="17"/>
        <v>1029.0927835051546</v>
      </c>
      <c r="R85" s="66">
        <f t="shared" si="17"/>
        <v>1050.2886597938145</v>
      </c>
      <c r="S85" s="66">
        <f t="shared" si="17"/>
        <v>1055.7731958762886</v>
      </c>
    </row>
    <row r="86" spans="1:19" ht="15.75">
      <c r="A86" s="19"/>
      <c r="B86" s="20"/>
      <c r="C86" s="20"/>
      <c r="D86" s="20"/>
      <c r="E86" s="322"/>
      <c r="F86" s="322"/>
      <c r="G86" s="322"/>
      <c r="H86" s="322"/>
      <c r="I86" s="322"/>
      <c r="J86" s="322"/>
      <c r="K86" s="322"/>
      <c r="M86" s="21"/>
      <c r="N86" s="21"/>
      <c r="O86" s="21"/>
      <c r="P86" s="21"/>
      <c r="Q86" s="21"/>
      <c r="R86" s="21"/>
      <c r="S86" s="21"/>
    </row>
    <row r="87" spans="1:19">
      <c r="A87" s="258">
        <v>3</v>
      </c>
      <c r="B87" s="259">
        <v>9</v>
      </c>
      <c r="C87" s="259">
        <v>2</v>
      </c>
      <c r="D87" s="259">
        <v>1</v>
      </c>
      <c r="E87" s="311">
        <f t="shared" ref="E87:K88" si="18">((VLOOKUP($B87+E$64,$A$6:$G$27,$C87+1))*E$66)*$D87</f>
        <v>40470.5</v>
      </c>
      <c r="F87" s="311">
        <f t="shared" si="18"/>
        <v>41062.5</v>
      </c>
      <c r="G87" s="311">
        <f t="shared" si="18"/>
        <v>41846.999999999993</v>
      </c>
      <c r="H87" s="311">
        <f t="shared" si="18"/>
        <v>42826.999999999993</v>
      </c>
      <c r="I87" s="311">
        <f t="shared" si="18"/>
        <v>43815</v>
      </c>
      <c r="J87" s="311">
        <f t="shared" si="18"/>
        <v>44811</v>
      </c>
      <c r="K87" s="311">
        <f t="shared" si="18"/>
        <v>45815</v>
      </c>
      <c r="M87" s="66">
        <f t="shared" ref="M87:S88" si="19">(E87/194)*(M$65-M$66)</f>
        <v>625.83247422680415</v>
      </c>
      <c r="N87" s="66">
        <f t="shared" si="19"/>
        <v>846.64948453608247</v>
      </c>
      <c r="O87" s="66">
        <f t="shared" si="19"/>
        <v>862.82474226804106</v>
      </c>
      <c r="P87" s="66">
        <f t="shared" si="19"/>
        <v>883.03092783505144</v>
      </c>
      <c r="Q87" s="66">
        <f t="shared" si="19"/>
        <v>903.40206185567013</v>
      </c>
      <c r="R87" s="66">
        <f t="shared" si="19"/>
        <v>923.93814432989689</v>
      </c>
      <c r="S87" s="66">
        <f t="shared" si="19"/>
        <v>944.63917525773195</v>
      </c>
    </row>
    <row r="88" spans="1:19">
      <c r="A88" s="258">
        <v>16</v>
      </c>
      <c r="B88" s="259">
        <v>14</v>
      </c>
      <c r="C88" s="259">
        <v>2</v>
      </c>
      <c r="D88" s="259">
        <v>1</v>
      </c>
      <c r="E88" s="311">
        <f t="shared" si="18"/>
        <v>43641</v>
      </c>
      <c r="F88" s="311">
        <f t="shared" si="18"/>
        <v>44625</v>
      </c>
      <c r="G88" s="311">
        <f t="shared" si="18"/>
        <v>45617</v>
      </c>
      <c r="H88" s="311">
        <f t="shared" si="18"/>
        <v>46617</v>
      </c>
      <c r="I88" s="311">
        <f t="shared" si="18"/>
        <v>47625</v>
      </c>
      <c r="J88" s="311">
        <f t="shared" si="18"/>
        <v>48641</v>
      </c>
      <c r="K88" s="311">
        <f t="shared" si="18"/>
        <v>49665</v>
      </c>
      <c r="M88" s="66">
        <f t="shared" si="19"/>
        <v>674.86082474226805</v>
      </c>
      <c r="N88" s="66">
        <f t="shared" si="19"/>
        <v>920.10309278350519</v>
      </c>
      <c r="O88" s="66">
        <f t="shared" si="19"/>
        <v>940.5567010309278</v>
      </c>
      <c r="P88" s="66">
        <f t="shared" si="19"/>
        <v>961.17525773195871</v>
      </c>
      <c r="Q88" s="66">
        <f t="shared" si="19"/>
        <v>981.95876288659792</v>
      </c>
      <c r="R88" s="66">
        <f t="shared" si="19"/>
        <v>1002.9072164948453</v>
      </c>
      <c r="S88" s="66">
        <f t="shared" si="19"/>
        <v>1024.020618556701</v>
      </c>
    </row>
    <row r="89" spans="1:19" ht="15.75">
      <c r="A89" s="19"/>
      <c r="B89" s="20"/>
      <c r="C89" s="20"/>
      <c r="D89" s="20"/>
      <c r="E89" s="322"/>
      <c r="F89" s="322"/>
      <c r="G89" s="322"/>
      <c r="H89" s="322"/>
      <c r="I89" s="322"/>
      <c r="J89" s="322"/>
      <c r="K89" s="322"/>
      <c r="M89" s="21"/>
      <c r="N89" s="21"/>
      <c r="O89" s="21"/>
      <c r="P89" s="21"/>
      <c r="Q89" s="21"/>
      <c r="R89" s="21"/>
      <c r="S89" s="21"/>
    </row>
    <row r="90" spans="1:19">
      <c r="A90" s="258">
        <v>42</v>
      </c>
      <c r="B90" s="259">
        <v>12</v>
      </c>
      <c r="C90" s="259">
        <v>4</v>
      </c>
      <c r="D90" s="259">
        <v>1</v>
      </c>
      <c r="E90" s="311">
        <f t="shared" ref="E90:K95" si="20">((VLOOKUP($B90+E$64,$A$6:$G$27,$C90+1))*E$66)*$D90</f>
        <v>43640.999999999985</v>
      </c>
      <c r="F90" s="311">
        <f t="shared" si="20"/>
        <v>44624.999999999993</v>
      </c>
      <c r="G90" s="311">
        <f t="shared" si="20"/>
        <v>45616.999999999993</v>
      </c>
      <c r="H90" s="311">
        <f t="shared" si="20"/>
        <v>46616.999999999993</v>
      </c>
      <c r="I90" s="311">
        <f t="shared" si="20"/>
        <v>47624.999999999993</v>
      </c>
      <c r="J90" s="311">
        <f t="shared" si="20"/>
        <v>48640.999999999993</v>
      </c>
      <c r="K90" s="311">
        <f t="shared" si="20"/>
        <v>49664.999999999993</v>
      </c>
      <c r="M90" s="66">
        <f t="shared" ref="M90:S94" si="21">(E90/194)*(M$65-M$66)</f>
        <v>674.86082474226782</v>
      </c>
      <c r="N90" s="66">
        <f t="shared" si="21"/>
        <v>920.10309278350496</v>
      </c>
      <c r="O90" s="66">
        <f t="shared" si="21"/>
        <v>940.55670103092768</v>
      </c>
      <c r="P90" s="66">
        <f t="shared" si="21"/>
        <v>961.1752577319586</v>
      </c>
      <c r="Q90" s="66">
        <f t="shared" si="21"/>
        <v>981.95876288659781</v>
      </c>
      <c r="R90" s="66">
        <f t="shared" si="21"/>
        <v>1002.9072164948452</v>
      </c>
      <c r="S90" s="66">
        <f t="shared" si="21"/>
        <v>1024.0206185567008</v>
      </c>
    </row>
    <row r="91" spans="1:19">
      <c r="A91" s="258">
        <v>17</v>
      </c>
      <c r="B91" s="259">
        <v>7</v>
      </c>
      <c r="C91" s="259">
        <v>2</v>
      </c>
      <c r="D91" s="259">
        <v>1</v>
      </c>
      <c r="E91" s="311">
        <f t="shared" si="20"/>
        <v>38605.5</v>
      </c>
      <c r="F91" s="311">
        <f t="shared" si="20"/>
        <v>39187.5</v>
      </c>
      <c r="G91" s="311">
        <f t="shared" si="20"/>
        <v>40904.5</v>
      </c>
      <c r="H91" s="311">
        <f t="shared" si="20"/>
        <v>41500.5</v>
      </c>
      <c r="I91" s="311">
        <f t="shared" si="20"/>
        <v>42290.999999999993</v>
      </c>
      <c r="J91" s="311">
        <f t="shared" si="20"/>
        <v>43278.999999999993</v>
      </c>
      <c r="K91" s="311">
        <f t="shared" si="20"/>
        <v>44275</v>
      </c>
      <c r="M91" s="66">
        <f t="shared" si="21"/>
        <v>596.99226804123714</v>
      </c>
      <c r="N91" s="66">
        <f t="shared" si="21"/>
        <v>807.98969072164948</v>
      </c>
      <c r="O91" s="66">
        <f t="shared" si="21"/>
        <v>843.39175257731961</v>
      </c>
      <c r="P91" s="66">
        <f t="shared" si="21"/>
        <v>855.68041237113403</v>
      </c>
      <c r="Q91" s="66">
        <f t="shared" si="21"/>
        <v>871.97938144329885</v>
      </c>
      <c r="R91" s="66">
        <f t="shared" si="21"/>
        <v>892.35051546391742</v>
      </c>
      <c r="S91" s="66">
        <f t="shared" si="21"/>
        <v>912.88659793814429</v>
      </c>
    </row>
    <row r="92" spans="1:19">
      <c r="A92" s="258">
        <v>41</v>
      </c>
      <c r="B92" s="259">
        <v>13</v>
      </c>
      <c r="C92" s="259">
        <v>2</v>
      </c>
      <c r="D92" s="259">
        <v>1</v>
      </c>
      <c r="E92" s="311">
        <f t="shared" si="20"/>
        <v>42895</v>
      </c>
      <c r="F92" s="311">
        <f t="shared" si="20"/>
        <v>43875</v>
      </c>
      <c r="G92" s="311">
        <f t="shared" si="20"/>
        <v>44863</v>
      </c>
      <c r="H92" s="311">
        <f t="shared" si="20"/>
        <v>45859</v>
      </c>
      <c r="I92" s="311">
        <f t="shared" si="20"/>
        <v>46863</v>
      </c>
      <c r="J92" s="311">
        <f t="shared" si="20"/>
        <v>47875</v>
      </c>
      <c r="K92" s="311">
        <f t="shared" si="20"/>
        <v>48895</v>
      </c>
      <c r="M92" s="66">
        <f t="shared" si="21"/>
        <v>663.32474226804129</v>
      </c>
      <c r="N92" s="66">
        <f t="shared" si="21"/>
        <v>904.63917525773195</v>
      </c>
      <c r="O92" s="66">
        <f t="shared" si="21"/>
        <v>925.01030927835052</v>
      </c>
      <c r="P92" s="66">
        <f t="shared" si="21"/>
        <v>945.54639175257728</v>
      </c>
      <c r="Q92" s="66">
        <f t="shared" si="21"/>
        <v>966.24742268041234</v>
      </c>
      <c r="R92" s="66">
        <f t="shared" si="21"/>
        <v>987.11340206185571</v>
      </c>
      <c r="S92" s="66">
        <f t="shared" si="21"/>
        <v>1008.1443298969073</v>
      </c>
    </row>
    <row r="93" spans="1:19">
      <c r="A93" s="258">
        <v>19</v>
      </c>
      <c r="B93" s="259">
        <v>10</v>
      </c>
      <c r="C93" s="259">
        <v>5</v>
      </c>
      <c r="D93" s="259">
        <v>1</v>
      </c>
      <c r="E93" s="311">
        <f t="shared" si="20"/>
        <v>42708.499999999993</v>
      </c>
      <c r="F93" s="311">
        <f t="shared" si="20"/>
        <v>43499.999999999985</v>
      </c>
      <c r="G93" s="311">
        <f t="shared" si="20"/>
        <v>44485.999999999993</v>
      </c>
      <c r="H93" s="311">
        <f t="shared" si="20"/>
        <v>45479.999999999993</v>
      </c>
      <c r="I93" s="311">
        <f t="shared" si="20"/>
        <v>46481.999999999993</v>
      </c>
      <c r="J93" s="311">
        <f t="shared" si="20"/>
        <v>47491.999999999993</v>
      </c>
      <c r="K93" s="311">
        <f t="shared" si="20"/>
        <v>48509.999999999993</v>
      </c>
      <c r="M93" s="66">
        <f t="shared" si="21"/>
        <v>660.44072164948443</v>
      </c>
      <c r="N93" s="66">
        <f t="shared" si="21"/>
        <v>896.9072164948451</v>
      </c>
      <c r="O93" s="66">
        <f t="shared" si="21"/>
        <v>917.23711340206171</v>
      </c>
      <c r="P93" s="66">
        <f t="shared" si="21"/>
        <v>937.73195876288639</v>
      </c>
      <c r="Q93" s="66">
        <f t="shared" si="21"/>
        <v>958.39175257731949</v>
      </c>
      <c r="R93" s="66">
        <f t="shared" si="21"/>
        <v>979.21649484536067</v>
      </c>
      <c r="S93" s="66">
        <f t="shared" si="21"/>
        <v>1000.2061855670102</v>
      </c>
    </row>
    <row r="94" spans="1:19">
      <c r="A94" s="258">
        <v>22</v>
      </c>
      <c r="B94" s="259">
        <v>9</v>
      </c>
      <c r="C94" s="259">
        <v>4</v>
      </c>
      <c r="D94" s="259">
        <v>1</v>
      </c>
      <c r="E94" s="311">
        <f t="shared" si="20"/>
        <v>41962.499999999993</v>
      </c>
      <c r="F94" s="311">
        <f t="shared" si="20"/>
        <v>42562.499999999993</v>
      </c>
      <c r="G94" s="311">
        <f t="shared" si="20"/>
        <v>43354.999999999985</v>
      </c>
      <c r="H94" s="311">
        <f t="shared" si="20"/>
        <v>44342.999999999985</v>
      </c>
      <c r="I94" s="311">
        <f t="shared" si="20"/>
        <v>45338.999999999993</v>
      </c>
      <c r="J94" s="311">
        <f t="shared" si="20"/>
        <v>46342.999999999993</v>
      </c>
      <c r="K94" s="311">
        <f t="shared" si="20"/>
        <v>47354.999999999993</v>
      </c>
      <c r="M94" s="66">
        <f t="shared" si="21"/>
        <v>648.90463917525767</v>
      </c>
      <c r="N94" s="66">
        <f t="shared" si="21"/>
        <v>877.57731958762872</v>
      </c>
      <c r="O94" s="66">
        <f t="shared" si="21"/>
        <v>893.91752577319562</v>
      </c>
      <c r="P94" s="66">
        <f t="shared" si="21"/>
        <v>914.28865979381408</v>
      </c>
      <c r="Q94" s="66">
        <f t="shared" si="21"/>
        <v>934.82474226804106</v>
      </c>
      <c r="R94" s="66">
        <f t="shared" si="21"/>
        <v>955.52577319587613</v>
      </c>
      <c r="S94" s="66">
        <f t="shared" si="21"/>
        <v>976.39175257731949</v>
      </c>
    </row>
    <row r="95" spans="1:19">
      <c r="A95" s="258">
        <v>23</v>
      </c>
      <c r="B95" s="259">
        <v>9</v>
      </c>
      <c r="C95" s="259">
        <v>2</v>
      </c>
      <c r="D95" s="259">
        <v>1</v>
      </c>
      <c r="E95" s="311">
        <f t="shared" si="20"/>
        <v>40470.5</v>
      </c>
      <c r="F95" s="311">
        <f t="shared" si="20"/>
        <v>41062.5</v>
      </c>
      <c r="G95" s="311">
        <f t="shared" si="20"/>
        <v>41846.999999999993</v>
      </c>
      <c r="H95" s="311">
        <f t="shared" si="20"/>
        <v>42826.999999999993</v>
      </c>
      <c r="I95" s="311">
        <f t="shared" si="20"/>
        <v>43815</v>
      </c>
      <c r="J95" s="311">
        <f t="shared" si="20"/>
        <v>44811</v>
      </c>
      <c r="K95" s="311">
        <f t="shared" si="20"/>
        <v>45815</v>
      </c>
      <c r="M95" s="66">
        <f>(E95/194)*(M$65-M$66)</f>
        <v>625.83247422680415</v>
      </c>
      <c r="N95" s="66">
        <f t="shared" ref="N95:S95" si="22">(F95/194)*(N$65-N$66)</f>
        <v>846.64948453608247</v>
      </c>
      <c r="O95" s="66">
        <f t="shared" si="22"/>
        <v>862.82474226804106</v>
      </c>
      <c r="P95" s="66">
        <f t="shared" si="22"/>
        <v>883.03092783505144</v>
      </c>
      <c r="Q95" s="66">
        <f t="shared" si="22"/>
        <v>903.40206185567013</v>
      </c>
      <c r="R95" s="66">
        <f t="shared" si="22"/>
        <v>923.93814432989689</v>
      </c>
      <c r="S95" s="66">
        <f t="shared" si="22"/>
        <v>944.63917525773195</v>
      </c>
    </row>
    <row r="96" spans="1:19">
      <c r="M96" s="64"/>
      <c r="N96" s="64"/>
      <c r="O96" s="64"/>
      <c r="P96" s="64"/>
      <c r="Q96" s="64"/>
      <c r="R96" s="64"/>
      <c r="S96" s="64"/>
    </row>
    <row r="97" spans="4:19">
      <c r="D97" s="23" t="s">
        <v>36</v>
      </c>
      <c r="E97" s="24">
        <f>AVERAGE(E68:E95)</f>
        <v>40994.134615384617</v>
      </c>
      <c r="F97" s="24">
        <f t="shared" ref="F97:S97" si="23">AVERAGE(F68:F95)</f>
        <v>41668.269230769234</v>
      </c>
      <c r="G97" s="24">
        <f t="shared" si="23"/>
        <v>42557.5</v>
      </c>
      <c r="H97" s="24">
        <f t="shared" si="23"/>
        <v>43410.076923076922</v>
      </c>
      <c r="I97" s="24">
        <f t="shared" si="23"/>
        <v>44320.557692307695</v>
      </c>
      <c r="J97" s="24">
        <f t="shared" si="23"/>
        <v>45267.653846153844</v>
      </c>
      <c r="K97" s="24">
        <f t="shared" si="23"/>
        <v>46170.384615384617</v>
      </c>
      <c r="M97" s="24">
        <f t="shared" si="23"/>
        <v>633.92991673275162</v>
      </c>
      <c r="N97" s="24">
        <f t="shared" si="23"/>
        <v>859.13957176843769</v>
      </c>
      <c r="O97" s="24">
        <f t="shared" si="23"/>
        <v>877.47422680412353</v>
      </c>
      <c r="P97" s="24">
        <f t="shared" si="23"/>
        <v>895.05313243457579</v>
      </c>
      <c r="Q97" s="24">
        <f t="shared" si="23"/>
        <v>913.82593180015886</v>
      </c>
      <c r="R97" s="24">
        <f t="shared" si="23"/>
        <v>933.35368754956369</v>
      </c>
      <c r="S97" s="24">
        <f t="shared" si="23"/>
        <v>951.96669310071343</v>
      </c>
    </row>
    <row r="98" spans="4:19">
      <c r="L98" t="s">
        <v>63</v>
      </c>
      <c r="M98" s="22">
        <f>SUM(M68:M95)</f>
        <v>16482.177835051541</v>
      </c>
      <c r="N98" s="22">
        <f t="shared" ref="N98:S98" si="24">SUM(N68:N95)</f>
        <v>22337.628865979379</v>
      </c>
      <c r="O98" s="22">
        <f t="shared" si="24"/>
        <v>22814.329896907213</v>
      </c>
      <c r="P98" s="22">
        <f t="shared" si="24"/>
        <v>23271.381443298971</v>
      </c>
      <c r="Q98" s="22">
        <f t="shared" si="24"/>
        <v>23759.47422680413</v>
      </c>
      <c r="R98" s="22">
        <f t="shared" si="24"/>
        <v>24267.195876288657</v>
      </c>
      <c r="S98" s="22">
        <f t="shared" si="24"/>
        <v>24751.134020618549</v>
      </c>
    </row>
  </sheetData>
  <sheetProtection password="DF03" sheet="1" objects="1" scenarios="1"/>
  <mergeCells count="7">
    <mergeCell ref="C66:D66"/>
    <mergeCell ref="C65:D65"/>
    <mergeCell ref="A1:M1"/>
    <mergeCell ref="C4:G4"/>
    <mergeCell ref="I4:I5"/>
    <mergeCell ref="B36:B37"/>
    <mergeCell ref="C36:G36"/>
  </mergeCells>
  <pageMargins left="0.5" right="0.5" top="0.5" bottom="0.5" header="0.3" footer="0.3"/>
  <pageSetup orientation="landscape" r:id="rId1"/>
  <headerFooter>
    <oddFooter>&amp;LPay Scale Schedule&amp;CPinellas Preparatory Academy, Inc.&amp;RPage &amp;P or &amp;N</oddFooter>
  </headerFooter>
  <rowBreaks count="2" manualBreakCount="2">
    <brk id="31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view="pageLayout" zoomScaleNormal="100" workbookViewId="0"/>
  </sheetViews>
  <sheetFormatPr defaultRowHeight="15"/>
  <cols>
    <col min="1" max="1" width="8" customWidth="1"/>
    <col min="2" max="2" width="1.5703125" customWidth="1"/>
    <col min="3" max="4" width="13" customWidth="1"/>
    <col min="5" max="5" width="1.5703125" customWidth="1"/>
    <col min="6" max="7" width="13" customWidth="1"/>
    <col min="8" max="8" width="1.5703125" customWidth="1"/>
    <col min="9" max="10" width="13" customWidth="1"/>
    <col min="11" max="11" width="1.5703125" customWidth="1"/>
    <col min="12" max="12" width="13" customWidth="1"/>
    <col min="13" max="13" width="1.5703125" customWidth="1"/>
    <col min="14" max="14" width="13" customWidth="1"/>
    <col min="15" max="15" width="12.5703125" bestFit="1" customWidth="1"/>
  </cols>
  <sheetData>
    <row r="1" spans="1:18" ht="18">
      <c r="A1" s="294" t="s">
        <v>542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7">
      <c r="A2" s="295" t="s">
        <v>558</v>
      </c>
      <c r="B2" s="296"/>
      <c r="C2" s="296"/>
      <c r="D2" s="296"/>
      <c r="E2" s="296"/>
      <c r="F2" s="296"/>
      <c r="G2" s="296"/>
      <c r="H2" s="296"/>
      <c r="I2" s="334"/>
      <c r="J2" s="334"/>
      <c r="K2" s="334"/>
      <c r="L2" s="334"/>
      <c r="M2" s="334"/>
      <c r="N2" s="334"/>
    </row>
    <row r="4" spans="1:18" ht="18.75">
      <c r="C4" s="324"/>
      <c r="D4" s="324"/>
      <c r="E4" s="324"/>
      <c r="F4" s="330" t="s">
        <v>553</v>
      </c>
      <c r="G4" s="330"/>
      <c r="H4" s="330"/>
      <c r="I4" s="330"/>
      <c r="J4" s="330"/>
      <c r="K4" s="324"/>
      <c r="L4" s="324"/>
      <c r="M4" s="324"/>
      <c r="N4" s="324"/>
    </row>
    <row r="5" spans="1:18" ht="30">
      <c r="C5" s="324"/>
      <c r="D5" s="324"/>
      <c r="E5" s="324"/>
      <c r="F5" s="331" t="s">
        <v>554</v>
      </c>
      <c r="G5" s="331" t="s">
        <v>550</v>
      </c>
      <c r="H5" s="331"/>
      <c r="I5" s="331" t="s">
        <v>551</v>
      </c>
      <c r="J5" s="331" t="s">
        <v>552</v>
      </c>
      <c r="K5" s="324"/>
    </row>
    <row r="6" spans="1:18">
      <c r="C6" s="324"/>
      <c r="D6" s="327" t="s">
        <v>94</v>
      </c>
      <c r="E6" s="325"/>
      <c r="F6" s="337">
        <v>569665</v>
      </c>
      <c r="G6" s="337">
        <v>489194</v>
      </c>
      <c r="H6" s="337"/>
      <c r="I6" s="337">
        <v>104179</v>
      </c>
      <c r="J6" s="337">
        <v>80601</v>
      </c>
      <c r="K6" s="335"/>
    </row>
    <row r="7" spans="1:18">
      <c r="C7" s="324"/>
      <c r="D7" s="327" t="s">
        <v>95</v>
      </c>
      <c r="E7" s="325"/>
      <c r="F7" s="337">
        <v>884016</v>
      </c>
      <c r="G7" s="337">
        <v>745405</v>
      </c>
      <c r="H7" s="337"/>
      <c r="I7" s="337">
        <v>249870</v>
      </c>
      <c r="J7" s="337">
        <v>90398</v>
      </c>
      <c r="K7" s="335"/>
      <c r="O7" s="324"/>
    </row>
    <row r="8" spans="1:18">
      <c r="C8" s="324"/>
      <c r="D8" s="327" t="s">
        <v>96</v>
      </c>
      <c r="E8" s="325"/>
      <c r="F8" s="337">
        <v>1155534</v>
      </c>
      <c r="G8" s="337">
        <v>1083540</v>
      </c>
      <c r="H8" s="337"/>
      <c r="I8" s="337">
        <v>275486</v>
      </c>
      <c r="J8" s="337">
        <v>214730</v>
      </c>
      <c r="K8" s="335"/>
      <c r="O8" s="324"/>
      <c r="P8" s="324"/>
      <c r="Q8" s="324"/>
      <c r="R8" s="324"/>
    </row>
    <row r="9" spans="1:18">
      <c r="C9" s="324"/>
      <c r="D9" s="327" t="s">
        <v>97</v>
      </c>
      <c r="E9" s="325"/>
      <c r="F9" s="337">
        <v>1092336</v>
      </c>
      <c r="G9" s="337">
        <v>1132234</v>
      </c>
      <c r="H9" s="337"/>
      <c r="I9" s="337">
        <v>252828</v>
      </c>
      <c r="J9" s="337">
        <v>191803</v>
      </c>
      <c r="K9" s="335"/>
      <c r="O9" s="324"/>
      <c r="P9" s="324"/>
      <c r="Q9" s="324"/>
      <c r="R9" s="324"/>
    </row>
    <row r="10" spans="1:18">
      <c r="C10" s="324"/>
      <c r="D10" s="327" t="s">
        <v>77</v>
      </c>
      <c r="E10" s="325"/>
      <c r="F10" s="337">
        <v>1700762</v>
      </c>
      <c r="G10" s="337">
        <v>1559436</v>
      </c>
      <c r="H10" s="337"/>
      <c r="I10" s="337">
        <v>394154</v>
      </c>
      <c r="J10" s="337">
        <v>196665</v>
      </c>
      <c r="K10" s="335"/>
      <c r="O10" s="324"/>
      <c r="P10" s="324"/>
      <c r="Q10" s="324"/>
      <c r="R10" s="324"/>
    </row>
    <row r="11" spans="1:18">
      <c r="C11" s="324"/>
      <c r="D11" s="327" t="s">
        <v>78</v>
      </c>
      <c r="E11" s="325"/>
      <c r="F11" s="337">
        <v>2328143</v>
      </c>
      <c r="G11" s="337">
        <v>2147846</v>
      </c>
      <c r="H11" s="337"/>
      <c r="I11" s="337">
        <v>268800</v>
      </c>
      <c r="J11" s="337">
        <v>404316</v>
      </c>
      <c r="K11" s="335"/>
      <c r="O11" s="324"/>
      <c r="P11" s="324"/>
      <c r="Q11" s="324"/>
      <c r="R11" s="324"/>
    </row>
    <row r="12" spans="1:18">
      <c r="B12" s="324"/>
      <c r="C12" s="324"/>
      <c r="D12" s="327" t="s">
        <v>79</v>
      </c>
      <c r="E12" s="325"/>
      <c r="F12" s="337">
        <v>2453740</v>
      </c>
      <c r="G12" s="337">
        <v>2502139</v>
      </c>
      <c r="H12" s="337"/>
      <c r="I12" s="337">
        <v>510291</v>
      </c>
      <c r="J12" s="337">
        <v>355917</v>
      </c>
      <c r="K12" s="335"/>
      <c r="O12" s="324"/>
      <c r="P12" s="324"/>
      <c r="Q12" s="324"/>
      <c r="R12" s="324"/>
    </row>
    <row r="13" spans="1:18">
      <c r="B13" s="326"/>
      <c r="C13" s="326"/>
      <c r="D13" s="329" t="s">
        <v>15</v>
      </c>
      <c r="E13" s="328"/>
      <c r="F13" s="338">
        <v>2641065.3199999998</v>
      </c>
      <c r="G13" s="338">
        <v>2613939.9</v>
      </c>
      <c r="H13" s="339"/>
      <c r="I13" s="339"/>
      <c r="J13" s="338">
        <f>J12+F13-G13</f>
        <v>383042.41999999993</v>
      </c>
      <c r="K13" s="335"/>
      <c r="L13" t="s">
        <v>557</v>
      </c>
      <c r="O13" s="324"/>
      <c r="P13" s="324"/>
      <c r="Q13" s="324"/>
      <c r="R13" s="324"/>
    </row>
    <row r="14" spans="1:18"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</row>
    <row r="15" spans="1:18"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</row>
    <row r="16" spans="1:18"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</row>
    <row r="17" spans="1:18">
      <c r="B17" s="324"/>
      <c r="C17" s="398" t="s">
        <v>555</v>
      </c>
      <c r="D17" s="398"/>
      <c r="E17" s="324"/>
      <c r="F17" s="397" t="s">
        <v>556</v>
      </c>
      <c r="G17" s="397"/>
      <c r="H17" s="324"/>
      <c r="I17" s="397" t="s">
        <v>155</v>
      </c>
      <c r="J17" s="397"/>
      <c r="K17" s="324"/>
      <c r="L17" s="324"/>
      <c r="M17" s="324"/>
      <c r="N17" s="395" t="s">
        <v>549</v>
      </c>
      <c r="O17" s="324"/>
      <c r="P17" s="324"/>
      <c r="Q17" s="324"/>
      <c r="R17" s="324"/>
    </row>
    <row r="18" spans="1:18">
      <c r="B18" s="324"/>
      <c r="C18" s="332" t="s">
        <v>397</v>
      </c>
      <c r="D18" s="333" t="s">
        <v>421</v>
      </c>
      <c r="E18" s="324"/>
      <c r="F18" s="333" t="s">
        <v>397</v>
      </c>
      <c r="G18" s="333" t="s">
        <v>421</v>
      </c>
      <c r="H18" s="324"/>
      <c r="I18" s="333" t="s">
        <v>397</v>
      </c>
      <c r="J18" s="333" t="s">
        <v>421</v>
      </c>
      <c r="K18" s="324"/>
      <c r="L18" s="333" t="s">
        <v>548</v>
      </c>
      <c r="M18" s="324"/>
      <c r="N18" s="396"/>
      <c r="O18" s="324"/>
      <c r="P18" s="324"/>
      <c r="Q18" s="324"/>
      <c r="R18" s="324"/>
    </row>
    <row r="19" spans="1:18">
      <c r="B19" s="343"/>
      <c r="C19" s="22"/>
      <c r="D19" s="335"/>
      <c r="E19" s="340"/>
      <c r="F19" s="335"/>
      <c r="G19" s="335"/>
      <c r="H19" s="340"/>
      <c r="I19" s="335"/>
      <c r="J19" s="362" t="s">
        <v>607</v>
      </c>
      <c r="K19" s="363"/>
      <c r="L19" s="362"/>
      <c r="M19" s="340"/>
      <c r="N19" s="336">
        <v>297367.09999999998</v>
      </c>
      <c r="O19" s="324"/>
      <c r="P19" s="324"/>
      <c r="Q19" s="324"/>
      <c r="R19" s="324"/>
    </row>
    <row r="20" spans="1:18">
      <c r="A20" s="327" t="s">
        <v>22</v>
      </c>
      <c r="B20" s="344"/>
      <c r="C20" s="337">
        <f>Combined!B5</f>
        <v>0</v>
      </c>
      <c r="D20" s="337">
        <f>Combined!B6</f>
        <v>15745.9</v>
      </c>
      <c r="E20" s="341"/>
      <c r="F20" s="337">
        <f>Combined!B10</f>
        <v>2481454.04</v>
      </c>
      <c r="G20" s="337">
        <f>Combined!B11</f>
        <v>2491374.6587593649</v>
      </c>
      <c r="H20" s="341"/>
      <c r="I20" s="337">
        <f>Combined!B15</f>
        <v>67248</v>
      </c>
      <c r="J20" s="361">
        <f>Combined!B16+'PPAJr-StartUp'!K6</f>
        <v>141937.53779199999</v>
      </c>
      <c r="K20" s="341"/>
      <c r="L20" s="337">
        <f>(C20+F20+I20)-(D20+G20+J20)</f>
        <v>-100356.05655136472</v>
      </c>
      <c r="M20" s="341"/>
      <c r="N20" s="337">
        <f>N19+L20</f>
        <v>197011.04344863526</v>
      </c>
      <c r="O20" s="324"/>
      <c r="P20" s="324"/>
      <c r="Q20" s="324"/>
      <c r="R20" s="324"/>
    </row>
    <row r="21" spans="1:18">
      <c r="A21" s="327" t="s">
        <v>98</v>
      </c>
      <c r="B21" s="344"/>
      <c r="C21" s="337">
        <f>Combined!C5</f>
        <v>1252328.7231999999</v>
      </c>
      <c r="D21" s="337">
        <f>Combined!C6</f>
        <v>1324448.1186986249</v>
      </c>
      <c r="E21" s="341"/>
      <c r="F21" s="337">
        <f>Combined!C10</f>
        <v>2466474.1088</v>
      </c>
      <c r="G21" s="337">
        <f>Combined!C11</f>
        <v>2454934.7158448631</v>
      </c>
      <c r="H21" s="341"/>
      <c r="I21" s="337">
        <f>Combined!C15</f>
        <v>118926</v>
      </c>
      <c r="J21" s="337">
        <f>Combined!C16</f>
        <v>54257.613792000004</v>
      </c>
      <c r="K21" s="341"/>
      <c r="L21" s="337">
        <f t="shared" ref="L21:L26" si="0">(C21+F21+I21)-(D21+G21+J21)</f>
        <v>4088.3836645120755</v>
      </c>
      <c r="M21" s="341"/>
      <c r="N21" s="337">
        <f t="shared" ref="N21:N26" si="1">N20+L21</f>
        <v>201099.42711314734</v>
      </c>
      <c r="O21" s="324"/>
      <c r="P21" s="324"/>
      <c r="Q21" s="324"/>
      <c r="R21" s="324"/>
    </row>
    <row r="22" spans="1:18">
      <c r="A22" s="327" t="s">
        <v>99</v>
      </c>
      <c r="B22" s="344"/>
      <c r="C22" s="337">
        <f>Combined!D5</f>
        <v>1781024.786176</v>
      </c>
      <c r="D22" s="337">
        <f>Combined!D6</f>
        <v>1699782.3793936544</v>
      </c>
      <c r="E22" s="341"/>
      <c r="F22" s="337">
        <f>Combined!D10</f>
        <v>2475847.8210960003</v>
      </c>
      <c r="G22" s="337">
        <f>Combined!D11</f>
        <v>2473483.6744637955</v>
      </c>
      <c r="H22" s="341"/>
      <c r="I22" s="337">
        <f>Combined!D15</f>
        <v>139806</v>
      </c>
      <c r="J22" s="337">
        <f>Combined!D16</f>
        <v>63854.409791999991</v>
      </c>
      <c r="K22" s="341"/>
      <c r="L22" s="337">
        <f t="shared" si="0"/>
        <v>159558.14362255018</v>
      </c>
      <c r="M22" s="341"/>
      <c r="N22" s="337">
        <f t="shared" si="1"/>
        <v>360657.57073569752</v>
      </c>
      <c r="O22" s="324"/>
      <c r="P22" s="324"/>
      <c r="Q22" s="324"/>
      <c r="R22" s="324"/>
    </row>
    <row r="23" spans="1:18">
      <c r="A23" s="327" t="s">
        <v>100</v>
      </c>
      <c r="B23" s="344"/>
      <c r="C23" s="337">
        <f>Combined!E5</f>
        <v>1915060.8153737602</v>
      </c>
      <c r="D23" s="337">
        <f>Combined!E6</f>
        <v>1845775.9388543332</v>
      </c>
      <c r="E23" s="341"/>
      <c r="F23" s="337">
        <f>Combined!E10</f>
        <v>2486553.00881832</v>
      </c>
      <c r="G23" s="337">
        <f>Combined!E11</f>
        <v>2572276.0881462907</v>
      </c>
      <c r="H23" s="341"/>
      <c r="I23" s="337">
        <f>Combined!E15</f>
        <v>143946</v>
      </c>
      <c r="J23" s="337">
        <f>Combined!E16</f>
        <v>68752.489791999993</v>
      </c>
      <c r="K23" s="341"/>
      <c r="L23" s="337">
        <f t="shared" si="0"/>
        <v>58755.307399457321</v>
      </c>
      <c r="M23" s="341"/>
      <c r="N23" s="337">
        <f t="shared" si="1"/>
        <v>419412.87813515484</v>
      </c>
      <c r="O23" s="324"/>
      <c r="P23" s="324"/>
      <c r="Q23" s="324"/>
      <c r="R23" s="324"/>
    </row>
    <row r="24" spans="1:18">
      <c r="A24" s="327" t="s">
        <v>101</v>
      </c>
      <c r="B24" s="344"/>
      <c r="C24" s="337">
        <f>Combined!F5</f>
        <v>2174233.4414608451</v>
      </c>
      <c r="D24" s="337">
        <f>Combined!F6</f>
        <v>2108593.5856019137</v>
      </c>
      <c r="E24" s="341"/>
      <c r="F24" s="337">
        <f>Combined!F10</f>
        <v>2498243.7596569546</v>
      </c>
      <c r="G24" s="337">
        <f>Combined!F11</f>
        <v>2577950.2565252045</v>
      </c>
      <c r="H24" s="341"/>
      <c r="I24" s="337">
        <f>Combined!F15</f>
        <v>155556</v>
      </c>
      <c r="J24" s="337">
        <f>Combined!F16</f>
        <v>69520.68979199999</v>
      </c>
      <c r="K24" s="341"/>
      <c r="L24" s="337">
        <f t="shared" si="0"/>
        <v>71968.6691986816</v>
      </c>
      <c r="M24" s="341"/>
      <c r="N24" s="337">
        <f t="shared" si="1"/>
        <v>491381.54733383644</v>
      </c>
      <c r="O24" s="324"/>
      <c r="P24" s="324"/>
      <c r="Q24" s="324"/>
      <c r="R24" s="324"/>
    </row>
    <row r="25" spans="1:18">
      <c r="A25" s="327" t="s">
        <v>102</v>
      </c>
      <c r="B25" s="344"/>
      <c r="C25" s="337">
        <f>Combined!G5</f>
        <v>2312229.8141044201</v>
      </c>
      <c r="D25" s="337">
        <f>Combined!G6</f>
        <v>2216548.3861227771</v>
      </c>
      <c r="E25" s="341"/>
      <c r="F25" s="337">
        <f>Combined!G10</f>
        <v>2511101.2403439395</v>
      </c>
      <c r="G25" s="337">
        <f>Combined!G11</f>
        <v>2564082.7580324328</v>
      </c>
      <c r="H25" s="341"/>
      <c r="I25" s="337">
        <f>Combined!G15</f>
        <v>159696</v>
      </c>
      <c r="J25" s="337">
        <f>Combined!G16</f>
        <v>70007.68979199999</v>
      </c>
      <c r="K25" s="341"/>
      <c r="L25" s="337">
        <f t="shared" si="0"/>
        <v>132388.22050115</v>
      </c>
      <c r="M25" s="341"/>
      <c r="N25" s="337">
        <f t="shared" si="1"/>
        <v>623769.76783498644</v>
      </c>
      <c r="O25" s="324"/>
      <c r="P25" s="324"/>
      <c r="Q25" s="324"/>
      <c r="R25" s="324"/>
    </row>
    <row r="26" spans="1:18">
      <c r="A26" s="327" t="s">
        <v>103</v>
      </c>
      <c r="B26" s="344"/>
      <c r="C26" s="337">
        <f>Combined!H5</f>
        <v>2327082.1454618643</v>
      </c>
      <c r="D26" s="337">
        <f>Combined!H6</f>
        <v>2276941.2047650977</v>
      </c>
      <c r="E26" s="341"/>
      <c r="F26" s="337">
        <f>Combined!H10</f>
        <v>2525053.1323905606</v>
      </c>
      <c r="G26" s="337">
        <f>Combined!H11</f>
        <v>2601360.873841804</v>
      </c>
      <c r="H26" s="341"/>
      <c r="I26" s="337">
        <f>Combined!H15</f>
        <v>159696</v>
      </c>
      <c r="J26" s="337">
        <f>Combined!H16</f>
        <v>69791.68979199999</v>
      </c>
      <c r="K26" s="341"/>
      <c r="L26" s="337">
        <f t="shared" si="0"/>
        <v>63737.509453523904</v>
      </c>
      <c r="M26" s="341"/>
      <c r="N26" s="337">
        <f t="shared" si="1"/>
        <v>687507.27728851035</v>
      </c>
      <c r="O26" s="324"/>
      <c r="P26" s="324"/>
      <c r="Q26" s="324"/>
      <c r="R26" s="324"/>
    </row>
    <row r="27" spans="1:18">
      <c r="B27" s="343"/>
      <c r="C27" s="335"/>
      <c r="D27" s="335"/>
      <c r="E27" s="340"/>
      <c r="F27" s="335"/>
      <c r="G27" s="335"/>
      <c r="H27" s="340"/>
      <c r="I27" s="335"/>
      <c r="J27" s="335"/>
      <c r="K27" s="340"/>
      <c r="L27" s="335"/>
      <c r="M27" s="340"/>
      <c r="N27" s="335"/>
      <c r="O27" s="324"/>
      <c r="P27" s="324"/>
      <c r="Q27" s="324"/>
      <c r="R27" s="324"/>
    </row>
    <row r="28" spans="1:18">
      <c r="B28" s="89"/>
      <c r="C28" s="335"/>
      <c r="D28" s="335"/>
      <c r="E28" s="335"/>
      <c r="F28" s="335"/>
      <c r="G28" s="335"/>
      <c r="H28" s="335"/>
      <c r="I28" s="335"/>
      <c r="J28" s="22"/>
      <c r="K28" s="342"/>
      <c r="L28" s="22"/>
      <c r="M28" s="342"/>
      <c r="N28" s="22"/>
    </row>
  </sheetData>
  <sheetProtection password="DF03" sheet="1" objects="1" scenarios="1"/>
  <mergeCells count="4">
    <mergeCell ref="N17:N18"/>
    <mergeCell ref="I17:J17"/>
    <mergeCell ref="F17:G17"/>
    <mergeCell ref="C17:D17"/>
  </mergeCells>
  <pageMargins left="0.4" right="0.4" top="0.4" bottom="0.4" header="0.3" footer="0.3"/>
  <pageSetup orientation="landscape" r:id="rId1"/>
  <headerFooter>
    <oddFooter>&amp;LEstimaed Fund Balance&amp;CPinellas Preparatory Academy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00"/>
  <sheetViews>
    <sheetView showGridLines="0" view="pageLayout" zoomScale="85" zoomScaleNormal="80" zoomScalePageLayoutView="85" workbookViewId="0"/>
  </sheetViews>
  <sheetFormatPr defaultRowHeight="15"/>
  <cols>
    <col min="1" max="1" width="6.140625" style="198" customWidth="1"/>
    <col min="2" max="2" width="22.42578125" style="198" bestFit="1" customWidth="1"/>
    <col min="3" max="11" width="12.28515625" style="198" customWidth="1"/>
    <col min="12" max="16384" width="9.140625" style="198"/>
  </cols>
  <sheetData>
    <row r="1" spans="1:12" s="26" customFormat="1" ht="27">
      <c r="A1" s="295" t="s">
        <v>93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2" s="26" customFormat="1" ht="12.75">
      <c r="A2" s="27" t="s">
        <v>42</v>
      </c>
      <c r="J2" s="28"/>
      <c r="K2" s="29"/>
    </row>
    <row r="3" spans="1:12" s="26" customFormat="1" ht="12.75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K3" s="28"/>
      <c r="L3" s="29"/>
    </row>
    <row r="4" spans="1:12" s="26" customFormat="1" ht="12.75">
      <c r="B4" s="194" t="s">
        <v>468</v>
      </c>
      <c r="C4" s="197">
        <f>Combined!B10</f>
        <v>2481454.04</v>
      </c>
      <c r="D4" s="197">
        <f>Combined!C10</f>
        <v>2466474.1088</v>
      </c>
      <c r="E4" s="197">
        <f>Combined!D10</f>
        <v>2475847.8210960003</v>
      </c>
      <c r="F4" s="197">
        <f>Combined!E10</f>
        <v>2486553.00881832</v>
      </c>
      <c r="G4" s="197">
        <f>Combined!F10</f>
        <v>2498243.7596569546</v>
      </c>
      <c r="H4" s="197">
        <f>Combined!G10</f>
        <v>2511101.2403439395</v>
      </c>
      <c r="I4" s="197">
        <f>Combined!H10</f>
        <v>2525053.1323905606</v>
      </c>
      <c r="K4" s="28"/>
      <c r="L4" s="29"/>
    </row>
    <row r="5" spans="1:12" s="26" customFormat="1" ht="13.5" thickBot="1">
      <c r="B5" s="195" t="s">
        <v>469</v>
      </c>
      <c r="C5" s="165">
        <f>Combined!B11</f>
        <v>2491374.6587593649</v>
      </c>
      <c r="D5" s="165">
        <f>Combined!C11</f>
        <v>2454934.7158448631</v>
      </c>
      <c r="E5" s="165">
        <f>Combined!D11</f>
        <v>2473483.6744637955</v>
      </c>
      <c r="F5" s="165">
        <f>Combined!E11</f>
        <v>2572276.0881462907</v>
      </c>
      <c r="G5" s="165">
        <f>Combined!F11</f>
        <v>2577950.2565252045</v>
      </c>
      <c r="H5" s="165">
        <f>Combined!G11</f>
        <v>2564082.7580324328</v>
      </c>
      <c r="I5" s="165">
        <f>Combined!H11</f>
        <v>2601360.873841804</v>
      </c>
      <c r="K5" s="28"/>
      <c r="L5" s="29"/>
    </row>
    <row r="6" spans="1:12" s="26" customFormat="1" ht="13.5" thickBot="1">
      <c r="B6" s="166" t="s">
        <v>470</v>
      </c>
      <c r="C6" s="167">
        <f>Combined!B12</f>
        <v>-9920.618759364821</v>
      </c>
      <c r="D6" s="167">
        <f>Combined!C12</f>
        <v>11539.392955136951</v>
      </c>
      <c r="E6" s="167">
        <f>Combined!D12</f>
        <v>2364.1466322047636</v>
      </c>
      <c r="F6" s="167">
        <f>Combined!E12</f>
        <v>-85723.079327970743</v>
      </c>
      <c r="G6" s="167">
        <f>Combined!F12</f>
        <v>-79706.49686824996</v>
      </c>
      <c r="H6" s="167">
        <f>Combined!G12</f>
        <v>-52981.517688493244</v>
      </c>
      <c r="I6" s="167">
        <f>Combined!H12</f>
        <v>-76307.741451243404</v>
      </c>
      <c r="K6" s="28"/>
      <c r="L6" s="29"/>
    </row>
    <row r="7" spans="1:12" s="26" customFormat="1" ht="13.5" thickTop="1">
      <c r="B7" s="194" t="s">
        <v>472</v>
      </c>
      <c r="C7" s="197">
        <f>Combined!B5</f>
        <v>0</v>
      </c>
      <c r="D7" s="197">
        <f>Combined!C5</f>
        <v>1252328.7231999999</v>
      </c>
      <c r="E7" s="197">
        <f>Combined!D5</f>
        <v>1781024.786176</v>
      </c>
      <c r="F7" s="197">
        <f>Combined!E5</f>
        <v>1915060.8153737602</v>
      </c>
      <c r="G7" s="197">
        <f>Combined!F5</f>
        <v>2174233.4414608451</v>
      </c>
      <c r="H7" s="197">
        <f>Combined!G5</f>
        <v>2312229.8141044201</v>
      </c>
      <c r="I7" s="197">
        <f>Combined!H5</f>
        <v>2327082.1454618643</v>
      </c>
      <c r="K7" s="28"/>
      <c r="L7" s="29"/>
    </row>
    <row r="8" spans="1:12" s="26" customFormat="1" ht="13.5" thickBot="1">
      <c r="B8" s="195" t="s">
        <v>473</v>
      </c>
      <c r="C8" s="165">
        <f>Combined!B6</f>
        <v>15745.9</v>
      </c>
      <c r="D8" s="165">
        <f>Combined!C6</f>
        <v>1324448.1186986249</v>
      </c>
      <c r="E8" s="165">
        <f>Combined!D6</f>
        <v>1699782.3793936544</v>
      </c>
      <c r="F8" s="165">
        <f>Combined!E6</f>
        <v>1845775.9388543332</v>
      </c>
      <c r="G8" s="165">
        <f>Combined!F6</f>
        <v>2108593.5856019137</v>
      </c>
      <c r="H8" s="165">
        <f>Combined!G6</f>
        <v>2216548.3861227771</v>
      </c>
      <c r="I8" s="165">
        <f>Combined!H6</f>
        <v>2276941.2047650977</v>
      </c>
      <c r="K8" s="28"/>
      <c r="L8" s="29"/>
    </row>
    <row r="9" spans="1:12" s="26" customFormat="1" ht="13.5" thickBot="1">
      <c r="B9" s="166" t="s">
        <v>474</v>
      </c>
      <c r="C9" s="167">
        <f>Combined!B7</f>
        <v>-15745.9</v>
      </c>
      <c r="D9" s="167">
        <f>Combined!C7</f>
        <v>-72119.395498625003</v>
      </c>
      <c r="E9" s="167">
        <f>Combined!D7</f>
        <v>81242.406782345613</v>
      </c>
      <c r="F9" s="167">
        <f>Combined!E7</f>
        <v>69284.876519426936</v>
      </c>
      <c r="G9" s="167">
        <f>Combined!F7</f>
        <v>65639.855858931318</v>
      </c>
      <c r="H9" s="167">
        <f>Combined!G7</f>
        <v>95681.427981643006</v>
      </c>
      <c r="I9" s="167">
        <f>Combined!H7</f>
        <v>50140.9406967666</v>
      </c>
      <c r="K9" s="28"/>
      <c r="L9" s="29"/>
    </row>
    <row r="10" spans="1:12" s="26" customFormat="1" ht="13.5" thickTop="1">
      <c r="B10" s="168" t="s">
        <v>471</v>
      </c>
      <c r="C10" s="169">
        <f>Combined!B28</f>
        <v>635.36344863520935</v>
      </c>
      <c r="D10" s="169">
        <f>Combined!C28</f>
        <v>4088.3836645120755</v>
      </c>
      <c r="E10" s="169">
        <f>Combined!D28</f>
        <v>159558.14362255018</v>
      </c>
      <c r="F10" s="169">
        <f>Combined!E28</f>
        <v>58755.307399456389</v>
      </c>
      <c r="G10" s="169">
        <f>Combined!F28</f>
        <v>71968.6691986816</v>
      </c>
      <c r="H10" s="169">
        <f>Combined!G28</f>
        <v>132388.22050115</v>
      </c>
      <c r="I10" s="169">
        <f>Combined!H28</f>
        <v>63737.509453523904</v>
      </c>
      <c r="K10" s="28"/>
      <c r="L10" s="29"/>
    </row>
    <row r="12" spans="1:12" ht="23.25" thickBot="1">
      <c r="A12" s="34" t="s">
        <v>446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2">
      <c r="B13" s="222" t="s">
        <v>430</v>
      </c>
    </row>
    <row r="14" spans="1:12">
      <c r="C14" s="148" t="s">
        <v>94</v>
      </c>
      <c r="D14" s="148" t="s">
        <v>95</v>
      </c>
      <c r="E14" s="148" t="s">
        <v>96</v>
      </c>
      <c r="F14" s="148" t="s">
        <v>97</v>
      </c>
      <c r="G14" s="148" t="s">
        <v>77</v>
      </c>
      <c r="H14" s="148" t="s">
        <v>78</v>
      </c>
      <c r="I14" s="148" t="s">
        <v>79</v>
      </c>
      <c r="J14" s="148" t="s">
        <v>15</v>
      </c>
    </row>
    <row r="15" spans="1:12">
      <c r="B15" s="194" t="s">
        <v>433</v>
      </c>
      <c r="C15" s="153"/>
      <c r="D15" s="153"/>
      <c r="E15" s="153"/>
      <c r="F15" s="153">
        <v>3836</v>
      </c>
      <c r="G15" s="153">
        <v>4135</v>
      </c>
      <c r="H15" s="153">
        <v>4383</v>
      </c>
      <c r="I15" s="153">
        <v>4165</v>
      </c>
      <c r="J15" s="153">
        <v>3915</v>
      </c>
    </row>
    <row r="16" spans="1:12">
      <c r="B16" s="194" t="s">
        <v>432</v>
      </c>
      <c r="C16" s="153">
        <v>3367.1294117647058</v>
      </c>
      <c r="D16" s="153">
        <v>3681.2153768675507</v>
      </c>
      <c r="E16" s="153">
        <v>3710.6333333333332</v>
      </c>
      <c r="F16" s="153">
        <v>3767.8684560000002</v>
      </c>
      <c r="G16" s="153">
        <v>3995.1486486486488</v>
      </c>
      <c r="H16" s="153">
        <v>4098.1000000000004</v>
      </c>
      <c r="I16" s="153">
        <v>3907.84</v>
      </c>
      <c r="J16" s="153">
        <v>3646</v>
      </c>
    </row>
    <row r="17" spans="2:10">
      <c r="B17" s="194" t="s">
        <v>437</v>
      </c>
      <c r="C17" s="153"/>
      <c r="D17" s="153"/>
      <c r="E17" s="153"/>
      <c r="F17" s="153">
        <v>1039</v>
      </c>
      <c r="G17" s="153">
        <v>1039</v>
      </c>
      <c r="H17" s="153">
        <v>1039</v>
      </c>
      <c r="I17" s="153">
        <v>1018</v>
      </c>
      <c r="J17" s="153">
        <v>1039</v>
      </c>
    </row>
    <row r="18" spans="2:10">
      <c r="B18" s="194" t="s">
        <v>434</v>
      </c>
      <c r="C18" s="153"/>
      <c r="D18" s="153">
        <v>1164.9873312168784</v>
      </c>
      <c r="E18" s="153">
        <v>1164.9916666666668</v>
      </c>
      <c r="F18" s="153">
        <v>1165</v>
      </c>
      <c r="G18" s="153">
        <v>1164.989282385834</v>
      </c>
      <c r="H18" s="153">
        <v>1165</v>
      </c>
      <c r="I18" s="153">
        <v>1142</v>
      </c>
      <c r="J18" s="153">
        <v>1165</v>
      </c>
    </row>
    <row r="19" spans="2:10">
      <c r="B19" s="194" t="s">
        <v>436</v>
      </c>
      <c r="C19" s="153"/>
      <c r="D19" s="153"/>
      <c r="E19" s="153"/>
      <c r="F19" s="153">
        <v>1296</v>
      </c>
      <c r="G19" s="153">
        <v>1618</v>
      </c>
      <c r="H19" s="153">
        <v>1933</v>
      </c>
      <c r="I19" s="153">
        <v>2046</v>
      </c>
      <c r="J19" s="153">
        <f>6654-J15</f>
        <v>2739</v>
      </c>
    </row>
    <row r="20" spans="2:10">
      <c r="B20" s="194" t="s">
        <v>435</v>
      </c>
      <c r="C20" s="151">
        <v>670.92941176470583</v>
      </c>
      <c r="D20" s="151">
        <v>746.53421143847493</v>
      </c>
      <c r="E20" s="151">
        <v>907.59894736842102</v>
      </c>
      <c r="F20" s="151">
        <v>1352.6764280782386</v>
      </c>
      <c r="G20" s="151">
        <v>1580.6015537848607</v>
      </c>
      <c r="H20" s="151">
        <v>1730.87</v>
      </c>
      <c r="I20" s="151">
        <v>1639.82</v>
      </c>
      <c r="J20" s="151">
        <v>2015</v>
      </c>
    </row>
    <row r="21" spans="2:10">
      <c r="J21" s="201"/>
    </row>
    <row r="22" spans="2:10">
      <c r="C22" s="148" t="s">
        <v>94</v>
      </c>
      <c r="D22" s="148" t="s">
        <v>95</v>
      </c>
      <c r="E22" s="148" t="s">
        <v>96</v>
      </c>
      <c r="F22" s="148" t="s">
        <v>97</v>
      </c>
      <c r="G22" s="148" t="s">
        <v>77</v>
      </c>
      <c r="H22" s="148" t="s">
        <v>78</v>
      </c>
      <c r="I22" s="148" t="s">
        <v>79</v>
      </c>
      <c r="J22" s="148" t="s">
        <v>15</v>
      </c>
    </row>
    <row r="23" spans="2:10">
      <c r="B23" s="194" t="s">
        <v>438</v>
      </c>
      <c r="C23" s="153"/>
      <c r="D23" s="154"/>
      <c r="E23" s="154"/>
      <c r="F23" s="154"/>
      <c r="G23" s="154">
        <f t="shared" ref="E23:J28" si="0">(G15-F15)/F15</f>
        <v>7.7945776850886342E-2</v>
      </c>
      <c r="H23" s="154">
        <f t="shared" si="0"/>
        <v>5.9975816203143892E-2</v>
      </c>
      <c r="I23" s="154">
        <f t="shared" si="0"/>
        <v>-4.9737622632899839E-2</v>
      </c>
      <c r="J23" s="154">
        <f t="shared" si="0"/>
        <v>-6.0024009603841535E-2</v>
      </c>
    </row>
    <row r="24" spans="2:10">
      <c r="B24" s="194" t="s">
        <v>441</v>
      </c>
      <c r="C24" s="153"/>
      <c r="D24" s="154">
        <f>(D16-C16)/C16</f>
        <v>9.3280039669824608E-2</v>
      </c>
      <c r="E24" s="154">
        <f t="shared" si="0"/>
        <v>7.9913706355358768E-3</v>
      </c>
      <c r="F24" s="154">
        <f t="shared" si="0"/>
        <v>1.542462364915251E-2</v>
      </c>
      <c r="G24" s="154">
        <f t="shared" si="0"/>
        <v>6.0320628308221547E-2</v>
      </c>
      <c r="H24" s="154">
        <f t="shared" si="0"/>
        <v>2.5769091567137234E-2</v>
      </c>
      <c r="I24" s="154">
        <f t="shared" si="0"/>
        <v>-4.6426392718576952E-2</v>
      </c>
      <c r="J24" s="154">
        <f t="shared" si="0"/>
        <v>-6.7003766786767144E-2</v>
      </c>
    </row>
    <row r="25" spans="2:10">
      <c r="B25" s="194" t="s">
        <v>439</v>
      </c>
      <c r="C25" s="153"/>
      <c r="D25" s="154"/>
      <c r="E25" s="154"/>
      <c r="F25" s="154"/>
      <c r="G25" s="154">
        <f t="shared" si="0"/>
        <v>0</v>
      </c>
      <c r="H25" s="154">
        <f t="shared" si="0"/>
        <v>0</v>
      </c>
      <c r="I25" s="154">
        <f t="shared" si="0"/>
        <v>-2.0211742059672761E-2</v>
      </c>
      <c r="J25" s="154">
        <f t="shared" si="0"/>
        <v>2.0628683693516701E-2</v>
      </c>
    </row>
    <row r="26" spans="2:10">
      <c r="B26" s="194" t="s">
        <v>440</v>
      </c>
      <c r="C26" s="153"/>
      <c r="D26" s="154"/>
      <c r="E26" s="154">
        <f t="shared" si="0"/>
        <v>3.7214565963436404E-6</v>
      </c>
      <c r="F26" s="154">
        <f t="shared" si="0"/>
        <v>7.1531269893593517E-6</v>
      </c>
      <c r="G26" s="154">
        <f t="shared" si="0"/>
        <v>-9.199668811990798E-6</v>
      </c>
      <c r="H26" s="154">
        <f t="shared" si="0"/>
        <v>9.1997534466756599E-6</v>
      </c>
      <c r="I26" s="154">
        <f t="shared" si="0"/>
        <v>-1.9742489270386267E-2</v>
      </c>
      <c r="J26" s="154">
        <f t="shared" si="0"/>
        <v>2.0140105078809107E-2</v>
      </c>
    </row>
    <row r="27" spans="2:10">
      <c r="B27" s="194" t="s">
        <v>443</v>
      </c>
      <c r="C27" s="153"/>
      <c r="D27" s="154"/>
      <c r="E27" s="154"/>
      <c r="F27" s="154"/>
      <c r="G27" s="154">
        <f t="shared" si="0"/>
        <v>0.24845679012345678</v>
      </c>
      <c r="H27" s="154">
        <f t="shared" si="0"/>
        <v>0.19468479604449937</v>
      </c>
      <c r="I27" s="154">
        <f t="shared" si="0"/>
        <v>5.8458354888773927E-2</v>
      </c>
      <c r="J27" s="154">
        <f t="shared" si="0"/>
        <v>0.33870967741935482</v>
      </c>
    </row>
    <row r="28" spans="2:10">
      <c r="B28" s="194" t="s">
        <v>442</v>
      </c>
      <c r="C28" s="153"/>
      <c r="D28" s="154">
        <f>(D20-C20)/C20</f>
        <v>0.11268666770012403</v>
      </c>
      <c r="E28" s="154">
        <f t="shared" si="0"/>
        <v>0.21574997295783024</v>
      </c>
      <c r="F28" s="154">
        <f t="shared" si="0"/>
        <v>0.49039003626030825</v>
      </c>
      <c r="G28" s="154">
        <f t="shared" si="0"/>
        <v>0.16849936982374839</v>
      </c>
      <c r="H28" s="154">
        <f t="shared" si="0"/>
        <v>9.5070415346176843E-2</v>
      </c>
      <c r="I28" s="154">
        <f t="shared" si="0"/>
        <v>-5.2603603967946735E-2</v>
      </c>
      <c r="J28" s="154">
        <f t="shared" si="0"/>
        <v>0.22879340415411453</v>
      </c>
    </row>
    <row r="30" spans="2:10">
      <c r="B30" s="222" t="s">
        <v>431</v>
      </c>
    </row>
    <row r="31" spans="2:10">
      <c r="C31" s="192" t="s">
        <v>22</v>
      </c>
      <c r="D31" s="192" t="s">
        <v>98</v>
      </c>
      <c r="E31" s="192" t="s">
        <v>99</v>
      </c>
      <c r="F31" s="192" t="s">
        <v>100</v>
      </c>
      <c r="G31" s="192" t="s">
        <v>101</v>
      </c>
      <c r="H31" s="192" t="s">
        <v>102</v>
      </c>
      <c r="I31" s="192" t="s">
        <v>103</v>
      </c>
    </row>
    <row r="32" spans="2:10">
      <c r="B32" s="194" t="s">
        <v>433</v>
      </c>
      <c r="C32" s="223">
        <v>3956</v>
      </c>
      <c r="D32" s="223">
        <f t="shared" ref="D32:D37" si="1">C32</f>
        <v>3956</v>
      </c>
      <c r="E32" s="223">
        <f>D32+(D32*0.01)</f>
        <v>3995.56</v>
      </c>
      <c r="F32" s="223">
        <f>E32+(E32*0.01)</f>
        <v>4035.5155999999997</v>
      </c>
      <c r="G32" s="223">
        <f>F32+(F32*0.01)</f>
        <v>4075.8707559999998</v>
      </c>
      <c r="H32" s="223">
        <f>G32+(G32*0.01)</f>
        <v>4116.6294635599997</v>
      </c>
      <c r="I32" s="223">
        <f>H32+(H32*0.01)</f>
        <v>4157.7957581955998</v>
      </c>
    </row>
    <row r="33" spans="2:9">
      <c r="B33" s="194" t="s">
        <v>432</v>
      </c>
      <c r="C33" s="223">
        <v>3645.51</v>
      </c>
      <c r="D33" s="223">
        <f t="shared" si="1"/>
        <v>3645.51</v>
      </c>
      <c r="E33" s="223">
        <f t="shared" ref="E33:I37" si="2">D33+(D33*0.01)</f>
        <v>3681.9651000000003</v>
      </c>
      <c r="F33" s="223">
        <f t="shared" si="2"/>
        <v>3718.7847510000001</v>
      </c>
      <c r="G33" s="223">
        <f t="shared" si="2"/>
        <v>3755.9725985100004</v>
      </c>
      <c r="H33" s="223">
        <f t="shared" si="2"/>
        <v>3793.5323244951005</v>
      </c>
      <c r="I33" s="223">
        <f t="shared" si="2"/>
        <v>3831.4676477400517</v>
      </c>
    </row>
    <row r="34" spans="2:9">
      <c r="B34" s="194" t="s">
        <v>437</v>
      </c>
      <c r="C34" s="223">
        <v>1039</v>
      </c>
      <c r="D34" s="223">
        <f t="shared" si="1"/>
        <v>1039</v>
      </c>
      <c r="E34" s="223">
        <f t="shared" si="2"/>
        <v>1049.3900000000001</v>
      </c>
      <c r="F34" s="223">
        <f t="shared" si="2"/>
        <v>1059.8839</v>
      </c>
      <c r="G34" s="223">
        <f t="shared" si="2"/>
        <v>1070.482739</v>
      </c>
      <c r="H34" s="223">
        <f t="shared" si="2"/>
        <v>1081.18756639</v>
      </c>
      <c r="I34" s="223">
        <f t="shared" si="2"/>
        <v>1091.9994420539001</v>
      </c>
    </row>
    <row r="35" spans="2:9">
      <c r="B35" s="194" t="s">
        <v>434</v>
      </c>
      <c r="C35" s="223">
        <v>1165</v>
      </c>
      <c r="D35" s="223">
        <f t="shared" si="1"/>
        <v>1165</v>
      </c>
      <c r="E35" s="223">
        <f t="shared" si="2"/>
        <v>1176.6500000000001</v>
      </c>
      <c r="F35" s="223">
        <f t="shared" si="2"/>
        <v>1188.4165</v>
      </c>
      <c r="G35" s="223">
        <f t="shared" si="2"/>
        <v>1200.300665</v>
      </c>
      <c r="H35" s="223">
        <f t="shared" si="2"/>
        <v>1212.3036716500001</v>
      </c>
      <c r="I35" s="223">
        <f t="shared" si="2"/>
        <v>1224.4267083665002</v>
      </c>
    </row>
    <row r="36" spans="2:9">
      <c r="B36" s="194" t="s">
        <v>436</v>
      </c>
      <c r="C36" s="223">
        <f>6700-C32</f>
        <v>2744</v>
      </c>
      <c r="D36" s="223">
        <f t="shared" si="1"/>
        <v>2744</v>
      </c>
      <c r="E36" s="223">
        <f t="shared" si="2"/>
        <v>2771.44</v>
      </c>
      <c r="F36" s="223">
        <f t="shared" si="2"/>
        <v>2799.1543999999999</v>
      </c>
      <c r="G36" s="223">
        <f t="shared" si="2"/>
        <v>2827.1459439999999</v>
      </c>
      <c r="H36" s="223">
        <f t="shared" si="2"/>
        <v>2855.4174034399998</v>
      </c>
      <c r="I36" s="223">
        <f t="shared" si="2"/>
        <v>2883.9715774744</v>
      </c>
    </row>
    <row r="37" spans="2:9">
      <c r="B37" s="194" t="s">
        <v>435</v>
      </c>
      <c r="C37" s="223">
        <v>2030.9</v>
      </c>
      <c r="D37" s="223">
        <f t="shared" si="1"/>
        <v>2030.9</v>
      </c>
      <c r="E37" s="223">
        <f t="shared" si="2"/>
        <v>2051.2090000000003</v>
      </c>
      <c r="F37" s="223">
        <f t="shared" si="2"/>
        <v>2071.7210900000005</v>
      </c>
      <c r="G37" s="223">
        <f t="shared" si="2"/>
        <v>2092.4383009000003</v>
      </c>
      <c r="H37" s="223">
        <f t="shared" si="2"/>
        <v>2113.3626839090002</v>
      </c>
      <c r="I37" s="223">
        <f t="shared" si="2"/>
        <v>2134.4963107480903</v>
      </c>
    </row>
    <row r="38" spans="2:9">
      <c r="C38" s="201">
        <f>C37+C32</f>
        <v>5986.9</v>
      </c>
    </row>
    <row r="39" spans="2:9">
      <c r="C39" s="192" t="s">
        <v>22</v>
      </c>
      <c r="D39" s="192" t="s">
        <v>98</v>
      </c>
      <c r="E39" s="192" t="s">
        <v>99</v>
      </c>
      <c r="F39" s="192" t="s">
        <v>100</v>
      </c>
      <c r="G39" s="192" t="s">
        <v>101</v>
      </c>
      <c r="H39" s="192" t="s">
        <v>102</v>
      </c>
      <c r="I39" s="192" t="s">
        <v>103</v>
      </c>
    </row>
    <row r="40" spans="2:9">
      <c r="B40" s="194" t="s">
        <v>438</v>
      </c>
      <c r="C40" s="152">
        <f t="shared" ref="C40:C45" si="3">(C32-J15)/J15</f>
        <v>1.0472541507024266E-2</v>
      </c>
      <c r="D40" s="152">
        <f t="shared" ref="D40:I40" si="4">(D32-C32)/C32</f>
        <v>0</v>
      </c>
      <c r="E40" s="152">
        <f t="shared" si="4"/>
        <v>9.9999999999999863E-3</v>
      </c>
      <c r="F40" s="152">
        <f t="shared" si="4"/>
        <v>9.9999999999999447E-3</v>
      </c>
      <c r="G40" s="152">
        <f t="shared" si="4"/>
        <v>1.0000000000000021E-2</v>
      </c>
      <c r="H40" s="152">
        <f t="shared" si="4"/>
        <v>9.9999999999999881E-3</v>
      </c>
      <c r="I40" s="152">
        <f t="shared" si="4"/>
        <v>1.0000000000000007E-2</v>
      </c>
    </row>
    <row r="41" spans="2:9">
      <c r="B41" s="194" t="s">
        <v>441</v>
      </c>
      <c r="C41" s="152">
        <f t="shared" si="3"/>
        <v>-1.3439385628079587E-4</v>
      </c>
      <c r="D41" s="152">
        <f t="shared" ref="D41:I45" si="5">(D33-C33)/C33</f>
        <v>0</v>
      </c>
      <c r="E41" s="152">
        <f t="shared" si="5"/>
        <v>1.0000000000000035E-2</v>
      </c>
      <c r="F41" s="152">
        <f t="shared" si="5"/>
        <v>9.999999999999943E-3</v>
      </c>
      <c r="G41" s="152">
        <f t="shared" si="5"/>
        <v>1.0000000000000056E-2</v>
      </c>
      <c r="H41" s="152">
        <f t="shared" si="5"/>
        <v>1.0000000000000042E-2</v>
      </c>
      <c r="I41" s="152">
        <f t="shared" si="5"/>
        <v>1.0000000000000045E-2</v>
      </c>
    </row>
    <row r="42" spans="2:9">
      <c r="B42" s="194" t="s">
        <v>439</v>
      </c>
      <c r="C42" s="152">
        <f t="shared" si="3"/>
        <v>0</v>
      </c>
      <c r="D42" s="152">
        <f t="shared" si="5"/>
        <v>0</v>
      </c>
      <c r="E42" s="152">
        <f t="shared" si="5"/>
        <v>1.0000000000000096E-2</v>
      </c>
      <c r="F42" s="152">
        <f t="shared" si="5"/>
        <v>9.9999999999999412E-3</v>
      </c>
      <c r="G42" s="152">
        <f t="shared" si="5"/>
        <v>9.9999999999999985E-3</v>
      </c>
      <c r="H42" s="152">
        <f t="shared" si="5"/>
        <v>9.9999999999999915E-3</v>
      </c>
      <c r="I42" s="152">
        <f t="shared" si="5"/>
        <v>1.0000000000000077E-2</v>
      </c>
    </row>
    <row r="43" spans="2:9">
      <c r="B43" s="194" t="s">
        <v>440</v>
      </c>
      <c r="C43" s="152">
        <f t="shared" si="3"/>
        <v>0</v>
      </c>
      <c r="D43" s="152">
        <f t="shared" si="5"/>
        <v>0</v>
      </c>
      <c r="E43" s="152">
        <f t="shared" si="5"/>
        <v>1.0000000000000078E-2</v>
      </c>
      <c r="F43" s="152">
        <f t="shared" si="5"/>
        <v>9.9999999999999568E-3</v>
      </c>
      <c r="G43" s="152">
        <f t="shared" si="5"/>
        <v>9.9999999999999482E-3</v>
      </c>
      <c r="H43" s="152">
        <f t="shared" si="5"/>
        <v>1.0000000000000073E-2</v>
      </c>
      <c r="I43" s="152">
        <f t="shared" si="5"/>
        <v>1.000000000000009E-2</v>
      </c>
    </row>
    <row r="44" spans="2:9">
      <c r="B44" s="194" t="s">
        <v>443</v>
      </c>
      <c r="C44" s="152">
        <f t="shared" si="3"/>
        <v>1.8254837531945967E-3</v>
      </c>
      <c r="D44" s="152">
        <f t="shared" si="5"/>
        <v>0</v>
      </c>
      <c r="E44" s="152">
        <f t="shared" si="5"/>
        <v>1.0000000000000019E-2</v>
      </c>
      <c r="F44" s="152">
        <f t="shared" si="5"/>
        <v>9.999999999999943E-3</v>
      </c>
      <c r="G44" s="152">
        <f t="shared" si="5"/>
        <v>9.9999999999999915E-3</v>
      </c>
      <c r="H44" s="152">
        <f t="shared" si="5"/>
        <v>9.9999999999999811E-3</v>
      </c>
      <c r="I44" s="152">
        <f t="shared" si="5"/>
        <v>1.0000000000000052E-2</v>
      </c>
    </row>
    <row r="45" spans="2:9">
      <c r="B45" s="194" t="s">
        <v>442</v>
      </c>
      <c r="C45" s="152">
        <f t="shared" si="3"/>
        <v>7.8908188585608396E-3</v>
      </c>
      <c r="D45" s="152">
        <f t="shared" si="5"/>
        <v>0</v>
      </c>
      <c r="E45" s="152">
        <f t="shared" si="5"/>
        <v>1.0000000000000096E-2</v>
      </c>
      <c r="F45" s="152">
        <f t="shared" si="5"/>
        <v>1.0000000000000082E-2</v>
      </c>
      <c r="G45" s="152">
        <f t="shared" si="5"/>
        <v>9.9999999999999152E-3</v>
      </c>
      <c r="H45" s="152">
        <f t="shared" si="5"/>
        <v>9.999999999999969E-3</v>
      </c>
      <c r="I45" s="152">
        <f t="shared" si="5"/>
        <v>1.0000000000000038E-2</v>
      </c>
    </row>
    <row r="49" spans="1:10" ht="23.25" thickBot="1">
      <c r="A49" s="34" t="s">
        <v>447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>
      <c r="C50" s="148" t="s">
        <v>94</v>
      </c>
      <c r="D50" s="148" t="s">
        <v>95</v>
      </c>
      <c r="E50" s="148" t="s">
        <v>96</v>
      </c>
      <c r="F50" s="148" t="s">
        <v>97</v>
      </c>
      <c r="G50" s="148" t="s">
        <v>77</v>
      </c>
      <c r="H50" s="148" t="s">
        <v>78</v>
      </c>
      <c r="I50" s="148" t="s">
        <v>79</v>
      </c>
      <c r="J50" s="148" t="s">
        <v>15</v>
      </c>
    </row>
    <row r="51" spans="1:10">
      <c r="B51" s="194" t="s">
        <v>444</v>
      </c>
      <c r="C51" s="158">
        <v>517</v>
      </c>
      <c r="D51" s="158">
        <v>417</v>
      </c>
      <c r="E51" s="158">
        <v>387</v>
      </c>
      <c r="F51" s="158">
        <v>374</v>
      </c>
      <c r="G51" s="158">
        <v>681</v>
      </c>
      <c r="H51" s="158">
        <v>623</v>
      </c>
      <c r="I51" s="158">
        <v>542.79999999999995</v>
      </c>
      <c r="J51" s="158">
        <v>490.6</v>
      </c>
    </row>
    <row r="52" spans="1:10">
      <c r="B52" s="194" t="s">
        <v>445</v>
      </c>
      <c r="C52" s="158">
        <v>593</v>
      </c>
      <c r="D52" s="158">
        <v>477</v>
      </c>
      <c r="E52" s="158">
        <v>443</v>
      </c>
      <c r="F52" s="158">
        <v>426</v>
      </c>
      <c r="G52" s="158">
        <v>760</v>
      </c>
      <c r="H52" s="158">
        <v>701</v>
      </c>
      <c r="I52" s="158">
        <v>611.28</v>
      </c>
      <c r="J52" s="158">
        <v>554.91</v>
      </c>
    </row>
    <row r="53" spans="1:10">
      <c r="B53" s="194" t="s">
        <v>448</v>
      </c>
      <c r="C53" s="159"/>
      <c r="D53" s="160">
        <f>(D51-C51)/C51</f>
        <v>-0.19342359767891681</v>
      </c>
      <c r="E53" s="160">
        <f t="shared" ref="E53:J53" si="6">(E51-D51)/D51</f>
        <v>-7.1942446043165464E-2</v>
      </c>
      <c r="F53" s="160">
        <f t="shared" si="6"/>
        <v>-3.3591731266149873E-2</v>
      </c>
      <c r="G53" s="160">
        <f t="shared" si="6"/>
        <v>0.82085561497326198</v>
      </c>
      <c r="H53" s="160">
        <f t="shared" si="6"/>
        <v>-8.5168869309838469E-2</v>
      </c>
      <c r="I53" s="160">
        <f t="shared" si="6"/>
        <v>-0.12873194221508835</v>
      </c>
      <c r="J53" s="160">
        <f t="shared" si="6"/>
        <v>-9.6168017686072096E-2</v>
      </c>
    </row>
    <row r="54" spans="1:10">
      <c r="B54" s="194" t="s">
        <v>449</v>
      </c>
      <c r="C54" s="159"/>
      <c r="D54" s="160">
        <f>(D52-C52)/C52</f>
        <v>-0.19561551433389546</v>
      </c>
      <c r="E54" s="160">
        <f t="shared" ref="E54:J54" si="7">(E52-D52)/D52</f>
        <v>-7.1278825995807121E-2</v>
      </c>
      <c r="F54" s="160">
        <f t="shared" si="7"/>
        <v>-3.8374717832957109E-2</v>
      </c>
      <c r="G54" s="160">
        <f t="shared" si="7"/>
        <v>0.784037558685446</v>
      </c>
      <c r="H54" s="160">
        <f t="shared" si="7"/>
        <v>-7.7631578947368426E-2</v>
      </c>
      <c r="I54" s="160">
        <f t="shared" si="7"/>
        <v>-0.12798858773181174</v>
      </c>
      <c r="J54" s="160">
        <f t="shared" si="7"/>
        <v>-9.2216332940714574E-2</v>
      </c>
    </row>
    <row r="56" spans="1:10">
      <c r="C56" s="192" t="s">
        <v>22</v>
      </c>
      <c r="D56" s="192" t="s">
        <v>98</v>
      </c>
      <c r="E56" s="192" t="s">
        <v>99</v>
      </c>
      <c r="F56" s="192" t="s">
        <v>100</v>
      </c>
      <c r="G56" s="192" t="s">
        <v>101</v>
      </c>
      <c r="H56" s="192" t="s">
        <v>102</v>
      </c>
      <c r="I56" s="192" t="s">
        <v>103</v>
      </c>
    </row>
    <row r="57" spans="1:10">
      <c r="B57" s="194" t="s">
        <v>433</v>
      </c>
      <c r="C57" s="223">
        <f>J51-(J51*0.1)</f>
        <v>441.54</v>
      </c>
      <c r="D57" s="223">
        <f>C57-(C57*0.08)</f>
        <v>406.21680000000003</v>
      </c>
      <c r="E57" s="223">
        <f t="shared" ref="E57:I57" si="8">D57-(D57*0.08)</f>
        <v>373.71945600000004</v>
      </c>
      <c r="F57" s="223">
        <f t="shared" si="8"/>
        <v>343.82189952000004</v>
      </c>
      <c r="G57" s="223">
        <f t="shared" si="8"/>
        <v>316.31614755840002</v>
      </c>
      <c r="H57" s="223">
        <f t="shared" si="8"/>
        <v>291.01085575372804</v>
      </c>
      <c r="I57" s="223">
        <f t="shared" si="8"/>
        <v>267.72998729342982</v>
      </c>
    </row>
    <row r="58" spans="1:10">
      <c r="B58" s="194" t="s">
        <v>432</v>
      </c>
      <c r="C58" s="223">
        <f>J52-(J52*0.1)</f>
        <v>499.41899999999998</v>
      </c>
      <c r="D58" s="223">
        <f>C58-(C58*0.08)</f>
        <v>459.46547999999996</v>
      </c>
      <c r="E58" s="223">
        <f t="shared" ref="E58:I58" si="9">D58-(D58*0.08)</f>
        <v>422.70824159999995</v>
      </c>
      <c r="F58" s="223">
        <f t="shared" si="9"/>
        <v>388.89158227199994</v>
      </c>
      <c r="G58" s="223">
        <f t="shared" si="9"/>
        <v>357.78025569023993</v>
      </c>
      <c r="H58" s="223">
        <f t="shared" si="9"/>
        <v>329.15783523502074</v>
      </c>
      <c r="I58" s="223">
        <f t="shared" si="9"/>
        <v>302.82520841621908</v>
      </c>
    </row>
    <row r="59" spans="1:10">
      <c r="B59" s="194" t="s">
        <v>448</v>
      </c>
      <c r="C59" s="160">
        <f>(C57-J51)/C57</f>
        <v>-0.1111111111111111</v>
      </c>
      <c r="D59" s="160">
        <f t="shared" ref="D59:I60" si="10">(D57-C57)/C57</f>
        <v>-7.999999999999996E-2</v>
      </c>
      <c r="E59" s="160">
        <f t="shared" si="10"/>
        <v>-7.9999999999999988E-2</v>
      </c>
      <c r="F59" s="160">
        <f t="shared" si="10"/>
        <v>-7.9999999999999974E-2</v>
      </c>
      <c r="G59" s="160">
        <f t="shared" si="10"/>
        <v>-8.0000000000000071E-2</v>
      </c>
      <c r="H59" s="160">
        <f t="shared" si="10"/>
        <v>-7.9999999999999932E-2</v>
      </c>
      <c r="I59" s="160">
        <f t="shared" si="10"/>
        <v>-7.9999999999999932E-2</v>
      </c>
    </row>
    <row r="60" spans="1:10">
      <c r="B60" s="194" t="s">
        <v>449</v>
      </c>
      <c r="C60" s="160">
        <f>(C58-J52)/C58</f>
        <v>-0.11111111111111109</v>
      </c>
      <c r="D60" s="160">
        <f t="shared" si="10"/>
        <v>-8.0000000000000057E-2</v>
      </c>
      <c r="E60" s="160">
        <f t="shared" si="10"/>
        <v>-8.0000000000000016E-2</v>
      </c>
      <c r="F60" s="160">
        <f t="shared" si="10"/>
        <v>-8.0000000000000043E-2</v>
      </c>
      <c r="G60" s="160">
        <f t="shared" si="10"/>
        <v>-8.0000000000000043E-2</v>
      </c>
      <c r="H60" s="160">
        <f t="shared" si="10"/>
        <v>-7.9999999999999974E-2</v>
      </c>
      <c r="I60" s="160">
        <f t="shared" si="10"/>
        <v>-7.9999999999999988E-2</v>
      </c>
    </row>
    <row r="64" spans="1:10" ht="23.25" thickBot="1">
      <c r="A64" s="34" t="s">
        <v>450</v>
      </c>
      <c r="B64" s="35"/>
      <c r="C64" s="35"/>
      <c r="D64" s="35"/>
      <c r="E64" s="35"/>
      <c r="F64" s="35"/>
      <c r="G64" s="35"/>
      <c r="H64" s="35"/>
      <c r="I64" s="35"/>
      <c r="J64" s="35"/>
    </row>
    <row r="65" spans="1:10">
      <c r="C65" s="148" t="s">
        <v>94</v>
      </c>
      <c r="D65" s="148" t="s">
        <v>95</v>
      </c>
      <c r="E65" s="148" t="s">
        <v>96</v>
      </c>
      <c r="F65" s="148" t="s">
        <v>97</v>
      </c>
      <c r="G65" s="148" t="s">
        <v>77</v>
      </c>
      <c r="H65" s="148" t="s">
        <v>78</v>
      </c>
      <c r="I65" s="148" t="s">
        <v>79</v>
      </c>
      <c r="J65" s="148" t="s">
        <v>15</v>
      </c>
    </row>
    <row r="66" spans="1:10">
      <c r="B66" s="194" t="s">
        <v>451</v>
      </c>
      <c r="C66" s="158"/>
      <c r="D66" s="158"/>
      <c r="E66" s="158"/>
      <c r="F66" s="158">
        <v>75</v>
      </c>
      <c r="G66" s="158"/>
      <c r="H66" s="158">
        <v>250</v>
      </c>
      <c r="I66" s="158">
        <v>180</v>
      </c>
      <c r="J66" s="158">
        <v>180</v>
      </c>
    </row>
    <row r="68" spans="1:10">
      <c r="C68" s="192" t="s">
        <v>22</v>
      </c>
      <c r="D68" s="192" t="s">
        <v>98</v>
      </c>
      <c r="E68" s="192" t="s">
        <v>99</v>
      </c>
      <c r="F68" s="192" t="s">
        <v>100</v>
      </c>
      <c r="G68" s="192" t="s">
        <v>101</v>
      </c>
      <c r="H68" s="192" t="s">
        <v>102</v>
      </c>
      <c r="I68" s="192" t="s">
        <v>103</v>
      </c>
    </row>
    <row r="69" spans="1:10">
      <c r="B69" s="194" t="s">
        <v>452</v>
      </c>
      <c r="C69" s="223">
        <v>180</v>
      </c>
      <c r="D69" s="223">
        <v>180</v>
      </c>
      <c r="E69" s="223">
        <v>190</v>
      </c>
      <c r="F69" s="223">
        <v>200</v>
      </c>
      <c r="G69" s="223">
        <v>200</v>
      </c>
      <c r="H69" s="223">
        <v>200</v>
      </c>
      <c r="I69" s="223">
        <v>200</v>
      </c>
    </row>
    <row r="73" spans="1:10" ht="23.25" thickBot="1">
      <c r="A73" s="34" t="s">
        <v>453</v>
      </c>
      <c r="B73" s="35"/>
      <c r="C73" s="35"/>
      <c r="D73" s="35"/>
      <c r="E73" s="35"/>
      <c r="F73" s="35"/>
      <c r="G73" s="35"/>
      <c r="H73" s="35"/>
      <c r="I73" s="35"/>
      <c r="J73" s="35"/>
    </row>
    <row r="74" spans="1:10">
      <c r="C74" s="163" t="s">
        <v>22</v>
      </c>
      <c r="D74" s="163" t="s">
        <v>98</v>
      </c>
      <c r="E74" s="163" t="s">
        <v>99</v>
      </c>
      <c r="F74" s="163" t="s">
        <v>100</v>
      </c>
      <c r="G74" s="163" t="s">
        <v>101</v>
      </c>
      <c r="H74" s="163" t="s">
        <v>102</v>
      </c>
      <c r="I74" s="163" t="s">
        <v>103</v>
      </c>
    </row>
    <row r="75" spans="1:10">
      <c r="B75" s="194" t="s">
        <v>460</v>
      </c>
      <c r="C75" s="269">
        <f>'PPAJr-Staff'!C29</f>
        <v>0</v>
      </c>
      <c r="D75" s="269">
        <f>'PPAJr-Staff'!D29</f>
        <v>174</v>
      </c>
      <c r="E75" s="269">
        <f>'PPAJr-Staff'!E29</f>
        <v>246</v>
      </c>
      <c r="F75" s="269">
        <f>'PPAJr-Staff'!F29</f>
        <v>263</v>
      </c>
      <c r="G75" s="269">
        <f>'PPAJr-Staff'!G29</f>
        <v>297</v>
      </c>
      <c r="H75" s="269">
        <f>'PPAJr-Staff'!H29</f>
        <v>314</v>
      </c>
      <c r="I75" s="269">
        <f>'PPAJr-Staff'!I29</f>
        <v>314</v>
      </c>
    </row>
    <row r="76" spans="1:10" ht="15.75" thickBot="1">
      <c r="B76" s="195" t="s">
        <v>461</v>
      </c>
      <c r="C76" s="271">
        <f>'PPAJr-Staff'!C30</f>
        <v>0</v>
      </c>
      <c r="D76" s="271">
        <f>'PPAJr-Staff'!D30</f>
        <v>13</v>
      </c>
      <c r="E76" s="271">
        <f>'PPAJr-Staff'!E30</f>
        <v>20</v>
      </c>
      <c r="F76" s="271">
        <f>'PPAJr-Staff'!F30</f>
        <v>22</v>
      </c>
      <c r="G76" s="271">
        <f>'PPAJr-Staff'!G30</f>
        <v>24</v>
      </c>
      <c r="H76" s="271">
        <f>'PPAJr-Staff'!H30</f>
        <v>25</v>
      </c>
      <c r="I76" s="271">
        <f>'PPAJr-Staff'!I30</f>
        <v>25</v>
      </c>
    </row>
    <row r="77" spans="1:10">
      <c r="B77" s="196" t="s">
        <v>462</v>
      </c>
      <c r="C77" s="272">
        <f>'PPA-Staff'!C12*'PPA-Staff'!$E$19</f>
        <v>43</v>
      </c>
      <c r="D77" s="272">
        <f>'PPA-Staff'!D12*'PPA-Staff'!$E$19</f>
        <v>43</v>
      </c>
      <c r="E77" s="272">
        <f>'PPA-Staff'!E12*'PPA-Staff'!$E$19</f>
        <v>43</v>
      </c>
      <c r="F77" s="272">
        <f>'PPA-Staff'!F12*'PPA-Staff'!$E$19</f>
        <v>43</v>
      </c>
      <c r="G77" s="272">
        <f>'PPA-Staff'!G12*'PPA-Staff'!$E$19</f>
        <v>43</v>
      </c>
      <c r="H77" s="272">
        <f>'PPA-Staff'!H12*'PPA-Staff'!$E$19</f>
        <v>43</v>
      </c>
      <c r="I77" s="272">
        <f>'PPA-Staff'!I12*'PPA-Staff'!$E$19</f>
        <v>43</v>
      </c>
    </row>
    <row r="78" spans="1:10" ht="15.75" thickBot="1">
      <c r="B78" s="195" t="s">
        <v>463</v>
      </c>
      <c r="C78" s="271">
        <f>ROUNDDOWN(C77*'PPA-Staff'!$C$19,0)</f>
        <v>6</v>
      </c>
      <c r="D78" s="271">
        <f>ROUNDDOWN(D77*'PPA-Staff'!$C$19,0)</f>
        <v>6</v>
      </c>
      <c r="E78" s="271">
        <f>ROUNDDOWN(E77*'PPA-Staff'!$C$19,0)</f>
        <v>6</v>
      </c>
      <c r="F78" s="271">
        <f>ROUNDDOWN(F77*'PPA-Staff'!$C$19,0)</f>
        <v>6</v>
      </c>
      <c r="G78" s="271">
        <f>ROUNDDOWN(G77*'PPA-Staff'!$C$19,0)</f>
        <v>6</v>
      </c>
      <c r="H78" s="271">
        <f>ROUNDDOWN(H77*'PPA-Staff'!$C$19,0)</f>
        <v>6</v>
      </c>
      <c r="I78" s="271">
        <f>ROUNDDOWN(I77*'PPA-Staff'!$C$19,0)</f>
        <v>6</v>
      </c>
    </row>
    <row r="79" spans="1:10">
      <c r="B79" s="196" t="s">
        <v>464</v>
      </c>
      <c r="C79" s="273">
        <f>'PPA-Staff'!C13*'PPA-Staff'!$E$20</f>
        <v>87</v>
      </c>
      <c r="D79" s="273">
        <f>'PPA-Staff'!D13*'PPA-Staff'!$E$20</f>
        <v>87</v>
      </c>
      <c r="E79" s="273">
        <f>'PPA-Staff'!E13*'PPA-Staff'!$E$20</f>
        <v>87</v>
      </c>
      <c r="F79" s="273">
        <f>'PPA-Staff'!F13*'PPA-Staff'!$E$20</f>
        <v>87</v>
      </c>
      <c r="G79" s="273">
        <f>'PPA-Staff'!G13*'PPA-Staff'!$E$20</f>
        <v>87</v>
      </c>
      <c r="H79" s="273">
        <f>'PPA-Staff'!H13*'PPA-Staff'!$E$20</f>
        <v>87</v>
      </c>
      <c r="I79" s="273">
        <f>'PPA-Staff'!I13*'PPA-Staff'!$E$20</f>
        <v>87</v>
      </c>
    </row>
    <row r="80" spans="1:10" ht="15.75" thickBot="1">
      <c r="B80" s="195" t="s">
        <v>465</v>
      </c>
      <c r="C80" s="274">
        <f>ROUNDDOWN(C79*'PPA-Staff'!$C$20,0)</f>
        <v>17</v>
      </c>
      <c r="D80" s="274">
        <f>ROUNDDOWN(D79*'PPA-Staff'!$C$20,0)</f>
        <v>17</v>
      </c>
      <c r="E80" s="274">
        <f>ROUNDDOWN(E79*'PPA-Staff'!$C$20,0)</f>
        <v>17</v>
      </c>
      <c r="F80" s="274">
        <f>ROUNDDOWN(F79*'PPA-Staff'!$C$20,0)</f>
        <v>17</v>
      </c>
      <c r="G80" s="274">
        <f>ROUNDDOWN(G79*'PPA-Staff'!$C$20,0)</f>
        <v>17</v>
      </c>
      <c r="H80" s="274">
        <f>ROUNDDOWN(H79*'PPA-Staff'!$C$20,0)</f>
        <v>17</v>
      </c>
      <c r="I80" s="274">
        <f>ROUNDDOWN(I79*'PPA-Staff'!$C$20,0)</f>
        <v>17</v>
      </c>
    </row>
    <row r="81" spans="1:10">
      <c r="B81" s="196" t="s">
        <v>466</v>
      </c>
      <c r="C81" s="273">
        <f>'PPA-Staff'!C27-(C77+C79)</f>
        <v>260</v>
      </c>
      <c r="D81" s="273">
        <f>'PPA-Staff'!D27-(D77+D79)</f>
        <v>260</v>
      </c>
      <c r="E81" s="273">
        <f>'PPA-Staff'!E27-(E77+E79)</f>
        <v>260</v>
      </c>
      <c r="F81" s="273">
        <f>'PPA-Staff'!F27-(F77+F79)</f>
        <v>260</v>
      </c>
      <c r="G81" s="273">
        <f>'PPA-Staff'!G27-(G77+G79)</f>
        <v>260</v>
      </c>
      <c r="H81" s="273">
        <f>'PPA-Staff'!H27-(H77+H79)</f>
        <v>260</v>
      </c>
      <c r="I81" s="273">
        <f>'PPA-Staff'!I27-(I77+I79)</f>
        <v>260</v>
      </c>
    </row>
    <row r="82" spans="1:10">
      <c r="B82" s="194" t="s">
        <v>467</v>
      </c>
      <c r="C82" s="270">
        <f>'PPA-Staff'!C28-(C78+C80)</f>
        <v>42</v>
      </c>
      <c r="D82" s="270">
        <f>'PPA-Staff'!D28-(D78+D80)</f>
        <v>42</v>
      </c>
      <c r="E82" s="270">
        <f>'PPA-Staff'!E28-(E78+E80)</f>
        <v>42</v>
      </c>
      <c r="F82" s="270">
        <f>'PPA-Staff'!F28-(F78+F80)</f>
        <v>42</v>
      </c>
      <c r="G82" s="270">
        <f>'PPA-Staff'!G28-(G78+G80)</f>
        <v>42</v>
      </c>
      <c r="H82" s="270">
        <f>'PPA-Staff'!H28-(H78+H80)</f>
        <v>42</v>
      </c>
      <c r="I82" s="270">
        <f>'PPA-Staff'!I28-(I78+I80)</f>
        <v>42</v>
      </c>
    </row>
    <row r="84" spans="1:10">
      <c r="C84" s="192" t="s">
        <v>22</v>
      </c>
      <c r="D84" s="192" t="s">
        <v>98</v>
      </c>
      <c r="E84" s="192" t="s">
        <v>99</v>
      </c>
      <c r="F84" s="192" t="s">
        <v>100</v>
      </c>
      <c r="G84" s="192" t="s">
        <v>101</v>
      </c>
      <c r="H84" s="192" t="s">
        <v>102</v>
      </c>
      <c r="I84" s="192" t="s">
        <v>103</v>
      </c>
    </row>
    <row r="85" spans="1:10">
      <c r="B85" s="194" t="s">
        <v>454</v>
      </c>
      <c r="C85" s="153">
        <f>(C75*(C32+C36))+(C76*C34)</f>
        <v>0</v>
      </c>
      <c r="D85" s="153">
        <f t="shared" ref="D85:I85" si="11">(D75*(D32+D36))+(D76*D34)</f>
        <v>1179307</v>
      </c>
      <c r="E85" s="153">
        <f t="shared" si="11"/>
        <v>1685669.8</v>
      </c>
      <c r="F85" s="153">
        <f t="shared" si="11"/>
        <v>1820835.6558000001</v>
      </c>
      <c r="G85" s="153">
        <f t="shared" si="11"/>
        <v>2075887.5456360001</v>
      </c>
      <c r="H85" s="153">
        <f t="shared" si="11"/>
        <v>2216252.4053977495</v>
      </c>
      <c r="I85" s="153">
        <f t="shared" si="11"/>
        <v>2238414.9294517273</v>
      </c>
    </row>
    <row r="86" spans="1:10">
      <c r="B86" s="194" t="s">
        <v>455</v>
      </c>
      <c r="C86" s="153">
        <f>C75*C57</f>
        <v>0</v>
      </c>
      <c r="D86" s="153">
        <f t="shared" ref="D86:I86" si="12">D75*D57</f>
        <v>70681.723200000008</v>
      </c>
      <c r="E86" s="153">
        <f t="shared" si="12"/>
        <v>91934.986176000006</v>
      </c>
      <c r="F86" s="153">
        <f t="shared" si="12"/>
        <v>90425.159573760015</v>
      </c>
      <c r="G86" s="153">
        <f t="shared" si="12"/>
        <v>93945.895824844803</v>
      </c>
      <c r="H86" s="153">
        <f t="shared" si="12"/>
        <v>91377.408706670598</v>
      </c>
      <c r="I86" s="153">
        <f t="shared" si="12"/>
        <v>84067.216010136966</v>
      </c>
    </row>
    <row r="87" spans="1:10">
      <c r="B87" s="194" t="s">
        <v>456</v>
      </c>
      <c r="C87" s="153">
        <f>ROUNDDOWN('PPAJr-Staff'!C57,0)*C69</f>
        <v>0</v>
      </c>
      <c r="D87" s="153">
        <f>ROUNDDOWN('PPAJr-Staff'!D57,0)*D69</f>
        <v>2340</v>
      </c>
      <c r="E87" s="153">
        <f>ROUNDDOWN('PPAJr-Staff'!E57,0)*E69</f>
        <v>3420</v>
      </c>
      <c r="F87" s="153">
        <f>ROUNDDOWN('PPAJr-Staff'!F57,0)*F69</f>
        <v>3800</v>
      </c>
      <c r="G87" s="153">
        <f>ROUNDDOWN('PPAJr-Staff'!G57,0)*G69</f>
        <v>4400</v>
      </c>
      <c r="H87" s="153">
        <f>ROUNDDOWN('PPAJr-Staff'!H57,0)*H69</f>
        <v>4600</v>
      </c>
      <c r="I87" s="153">
        <f>ROUNDDOWN('PPAJr-Staff'!I57,0)*I69</f>
        <v>4600</v>
      </c>
    </row>
    <row r="89" spans="1:10">
      <c r="C89" s="192" t="s">
        <v>22</v>
      </c>
      <c r="D89" s="192" t="s">
        <v>98</v>
      </c>
      <c r="E89" s="192" t="s">
        <v>99</v>
      </c>
      <c r="F89" s="192" t="s">
        <v>100</v>
      </c>
      <c r="G89" s="192" t="s">
        <v>101</v>
      </c>
      <c r="H89" s="192" t="s">
        <v>102</v>
      </c>
      <c r="I89" s="192" t="s">
        <v>103</v>
      </c>
    </row>
    <row r="90" spans="1:10">
      <c r="B90" s="194" t="s">
        <v>457</v>
      </c>
      <c r="C90" s="153">
        <f>((C77+C79+C81)*(C33+C37))+((C78+C80+C82)*C35)</f>
        <v>2289524.9</v>
      </c>
      <c r="D90" s="153">
        <f t="shared" ref="D90:I90" si="13">((D77+D79+D81)*(D33+D37))+((D78+D80+D82)*D35)</f>
        <v>2289524.9</v>
      </c>
      <c r="E90" s="153">
        <f t="shared" si="13"/>
        <v>2312420.1490000002</v>
      </c>
      <c r="F90" s="153">
        <f t="shared" si="13"/>
        <v>2335544.3504900001</v>
      </c>
      <c r="G90" s="153">
        <f t="shared" si="13"/>
        <v>2358899.7939949003</v>
      </c>
      <c r="H90" s="153">
        <f t="shared" si="13"/>
        <v>2382488.7919348492</v>
      </c>
      <c r="I90" s="153">
        <f t="shared" si="13"/>
        <v>2406313.6798541979</v>
      </c>
    </row>
    <row r="91" spans="1:10">
      <c r="B91" s="194" t="s">
        <v>458</v>
      </c>
      <c r="C91" s="153">
        <f>((C77+C79)*C57)+(C81*C58)</f>
        <v>187249.14</v>
      </c>
      <c r="D91" s="153">
        <f t="shared" ref="D91:I91" si="14">((D77+D79)*D57)+(D81*D58)</f>
        <v>172269.20879999999</v>
      </c>
      <c r="E91" s="153">
        <f t="shared" si="14"/>
        <v>158487.67209599999</v>
      </c>
      <c r="F91" s="153">
        <f t="shared" si="14"/>
        <v>145808.65832831999</v>
      </c>
      <c r="G91" s="153">
        <f t="shared" si="14"/>
        <v>134143.96566205437</v>
      </c>
      <c r="H91" s="153">
        <f t="shared" si="14"/>
        <v>123412.44840909005</v>
      </c>
      <c r="I91" s="153">
        <f t="shared" si="14"/>
        <v>113539.45253636283</v>
      </c>
    </row>
    <row r="92" spans="1:10">
      <c r="B92" s="194" t="s">
        <v>459</v>
      </c>
      <c r="C92" s="153">
        <f>ROUNDDOWN('PPA-Staff'!C38+SharedStaff!C36,0)*C69</f>
        <v>4680</v>
      </c>
      <c r="D92" s="153">
        <f>ROUNDDOWN('PPA-Staff'!D38+SharedStaff!D36,0)*D69</f>
        <v>4680</v>
      </c>
      <c r="E92" s="153">
        <f>ROUNDDOWN('PPA-Staff'!E38+SharedStaff!E36,0)*E69</f>
        <v>4940</v>
      </c>
      <c r="F92" s="153">
        <f>ROUNDDOWN('PPA-Staff'!F38+SharedStaff!F36,0)*F69</f>
        <v>5200</v>
      </c>
      <c r="G92" s="153">
        <f>ROUNDDOWN('PPA-Staff'!G38+SharedStaff!G36,0)*G69</f>
        <v>5200</v>
      </c>
      <c r="H92" s="153">
        <f>ROUNDDOWN('PPA-Staff'!H38+SharedStaff!H36,0)*H69</f>
        <v>5200</v>
      </c>
      <c r="I92" s="153">
        <f>ROUNDDOWN('PPA-Staff'!I38+SharedStaff!I36,0)*I69</f>
        <v>5200</v>
      </c>
    </row>
    <row r="94" spans="1:10" ht="23.25" thickBot="1">
      <c r="A94" s="34" t="s">
        <v>504</v>
      </c>
      <c r="B94" s="35"/>
      <c r="C94" s="35"/>
      <c r="D94" s="35"/>
      <c r="E94" s="35"/>
      <c r="F94" s="35"/>
      <c r="G94" s="35"/>
      <c r="H94" s="35"/>
      <c r="I94" s="35"/>
      <c r="J94" s="35"/>
    </row>
    <row r="95" spans="1:10">
      <c r="C95" s="192" t="s">
        <v>22</v>
      </c>
      <c r="D95" s="192" t="s">
        <v>98</v>
      </c>
      <c r="E95" s="192" t="s">
        <v>99</v>
      </c>
      <c r="F95" s="192" t="s">
        <v>100</v>
      </c>
      <c r="G95" s="192" t="s">
        <v>101</v>
      </c>
      <c r="H95" s="192" t="s">
        <v>102</v>
      </c>
      <c r="I95" s="192" t="s">
        <v>103</v>
      </c>
    </row>
    <row r="96" spans="1:10">
      <c r="B96" s="194" t="s">
        <v>505</v>
      </c>
      <c r="C96" s="88">
        <f>C90/(SUM(C81,C79,C77))</f>
        <v>5870.5766666666668</v>
      </c>
      <c r="D96" s="88">
        <f t="shared" ref="D96:I96" si="15">D90/(SUM(D81,D79,D77))</f>
        <v>5870.5766666666668</v>
      </c>
      <c r="E96" s="88">
        <f t="shared" si="15"/>
        <v>5929.2824333333338</v>
      </c>
      <c r="F96" s="88">
        <f t="shared" si="15"/>
        <v>5988.5752576666673</v>
      </c>
      <c r="G96" s="88">
        <f t="shared" si="15"/>
        <v>6048.4610102433344</v>
      </c>
      <c r="H96" s="88">
        <f t="shared" si="15"/>
        <v>6108.9456203457676</v>
      </c>
      <c r="I96" s="88">
        <f t="shared" si="15"/>
        <v>6170.0350765492258</v>
      </c>
    </row>
    <row r="97" spans="2:9">
      <c r="B97" s="194" t="s">
        <v>506</v>
      </c>
      <c r="C97" s="82">
        <f>IF(C75=0,0,C85/C75)</f>
        <v>0</v>
      </c>
      <c r="D97" s="82">
        <f t="shared" ref="D97:I97" si="16">IF(D75=0,0,D85/D75)</f>
        <v>6777.6264367816093</v>
      </c>
      <c r="E97" s="82">
        <f t="shared" si="16"/>
        <v>6852.3162601626018</v>
      </c>
      <c r="F97" s="82">
        <f t="shared" si="16"/>
        <v>6923.329489733841</v>
      </c>
      <c r="G97" s="82">
        <f t="shared" si="16"/>
        <v>6989.5203556767683</v>
      </c>
      <c r="H97" s="82">
        <f t="shared" si="16"/>
        <v>7058.1286796106669</v>
      </c>
      <c r="I97" s="82">
        <f t="shared" si="16"/>
        <v>7128.7099664067746</v>
      </c>
    </row>
    <row r="99" spans="2:9">
      <c r="B99" s="194" t="s">
        <v>507</v>
      </c>
      <c r="C99" s="88">
        <f>250*(0.05*C96)</f>
        <v>73382.208333333343</v>
      </c>
      <c r="D99" s="88">
        <f t="shared" ref="D99:I99" si="17">250*(0.05*D96)</f>
        <v>73382.208333333343</v>
      </c>
      <c r="E99" s="88">
        <f t="shared" si="17"/>
        <v>74116.030416666676</v>
      </c>
      <c r="F99" s="88">
        <f t="shared" si="17"/>
        <v>74857.190720833343</v>
      </c>
      <c r="G99" s="88">
        <f t="shared" si="17"/>
        <v>75605.762628041688</v>
      </c>
      <c r="H99" s="88">
        <f t="shared" si="17"/>
        <v>76361.820254322098</v>
      </c>
      <c r="I99" s="88">
        <f t="shared" si="17"/>
        <v>77125.438456865319</v>
      </c>
    </row>
    <row r="100" spans="2:9">
      <c r="B100" s="194" t="s">
        <v>508</v>
      </c>
      <c r="C100" s="88">
        <f>250*(0.05*C97)</f>
        <v>0</v>
      </c>
      <c r="D100" s="88">
        <f t="shared" ref="D100:I100" si="18">250*(0.05*D97)</f>
        <v>84720.330459770121</v>
      </c>
      <c r="E100" s="88">
        <f t="shared" si="18"/>
        <v>85653.953252032516</v>
      </c>
      <c r="F100" s="88">
        <f t="shared" si="18"/>
        <v>86541.618621673028</v>
      </c>
      <c r="G100" s="88">
        <f t="shared" si="18"/>
        <v>87369.00444595961</v>
      </c>
      <c r="H100" s="88">
        <f t="shared" si="18"/>
        <v>88226.608495133347</v>
      </c>
      <c r="I100" s="88">
        <f t="shared" si="18"/>
        <v>89108.874580084681</v>
      </c>
    </row>
  </sheetData>
  <sheetProtection password="DF03" sheet="1" objects="1" scenarios="1"/>
  <pageMargins left="0.5" right="0.5" top="0.5" bottom="0.5" header="0.3" footer="0.3"/>
  <pageSetup orientation="landscape" r:id="rId1"/>
  <headerFooter>
    <oddFooter>&amp;LIncome Estimates&amp;CPinellas Preparatory Academy, Inc.&amp;RPage &amp;P or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8"/>
  <sheetViews>
    <sheetView showGridLines="0" view="pageLayout" zoomScale="85" zoomScaleNormal="100" zoomScalePageLayoutView="85" workbookViewId="0"/>
  </sheetViews>
  <sheetFormatPr defaultRowHeight="15"/>
  <cols>
    <col min="1" max="1" width="32" style="198" customWidth="1"/>
    <col min="2" max="8" width="13.28515625" style="198" customWidth="1"/>
    <col min="9" max="9" width="9.7109375" style="198" bestFit="1" customWidth="1"/>
    <col min="10" max="16384" width="9.140625" style="198"/>
  </cols>
  <sheetData>
    <row r="1" spans="1:11" s="26" customFormat="1" ht="27">
      <c r="A1" s="295" t="s">
        <v>543</v>
      </c>
      <c r="B1" s="295"/>
      <c r="C1" s="295"/>
      <c r="D1" s="295"/>
      <c r="E1" s="295"/>
      <c r="F1" s="295"/>
      <c r="G1" s="295"/>
      <c r="H1" s="295"/>
    </row>
    <row r="2" spans="1:11" s="26" customFormat="1" ht="12.75">
      <c r="A2" s="27"/>
      <c r="J2" s="28"/>
      <c r="K2" s="29"/>
    </row>
    <row r="3" spans="1:11" s="26" customFormat="1" ht="12.75">
      <c r="A3" s="193" t="s">
        <v>544</v>
      </c>
      <c r="B3" s="192" t="s">
        <v>22</v>
      </c>
      <c r="C3" s="192" t="s">
        <v>98</v>
      </c>
      <c r="D3" s="192" t="s">
        <v>99</v>
      </c>
      <c r="E3" s="192" t="s">
        <v>100</v>
      </c>
      <c r="F3" s="192" t="s">
        <v>101</v>
      </c>
      <c r="G3" s="192" t="s">
        <v>102</v>
      </c>
      <c r="H3" s="192" t="s">
        <v>103</v>
      </c>
      <c r="J3" s="28"/>
      <c r="K3" s="29"/>
    </row>
    <row r="4" spans="1:11" s="26" customFormat="1" ht="12.75">
      <c r="A4" s="194" t="s">
        <v>510</v>
      </c>
      <c r="B4" s="197">
        <f>Combined!B26</f>
        <v>2548702.04</v>
      </c>
      <c r="C4" s="197">
        <f>Combined!C26</f>
        <v>3837728.8319999999</v>
      </c>
      <c r="D4" s="197">
        <f>Combined!D26</f>
        <v>4396678.6072720001</v>
      </c>
      <c r="E4" s="197">
        <f>Combined!E26</f>
        <v>4545559.8241920806</v>
      </c>
      <c r="F4" s="197">
        <f>Combined!F26</f>
        <v>4828033.2011177996</v>
      </c>
      <c r="G4" s="197">
        <f>Combined!G26</f>
        <v>4983027.0544483596</v>
      </c>
      <c r="H4" s="197">
        <f>Combined!H26</f>
        <v>5011831.2778524254</v>
      </c>
      <c r="J4" s="28"/>
      <c r="K4" s="29"/>
    </row>
    <row r="5" spans="1:11" s="26" customFormat="1" ht="13.5" thickBot="1">
      <c r="A5" s="195" t="s">
        <v>511</v>
      </c>
      <c r="B5" s="197">
        <f>Combined!B27</f>
        <v>2548066.6765513648</v>
      </c>
      <c r="C5" s="197">
        <f>Combined!C27</f>
        <v>3833640.4483354879</v>
      </c>
      <c r="D5" s="197">
        <f>Combined!D27</f>
        <v>4237120.4636494499</v>
      </c>
      <c r="E5" s="197">
        <f>Combined!E27</f>
        <v>4486804.5167926243</v>
      </c>
      <c r="F5" s="197">
        <f>Combined!F27</f>
        <v>4756064.531919118</v>
      </c>
      <c r="G5" s="197">
        <f>Combined!G27</f>
        <v>4850638.8339472096</v>
      </c>
      <c r="H5" s="197">
        <f>Combined!H27</f>
        <v>4948093.7683989014</v>
      </c>
      <c r="J5" s="28"/>
      <c r="K5" s="29"/>
    </row>
    <row r="6" spans="1:11" s="26" customFormat="1" ht="12.75">
      <c r="A6" s="168" t="s">
        <v>471</v>
      </c>
      <c r="B6" s="169">
        <f>Combined!B28</f>
        <v>635.36344863520935</v>
      </c>
      <c r="C6" s="169">
        <f>Combined!C28</f>
        <v>4088.3836645120755</v>
      </c>
      <c r="D6" s="169">
        <f>Combined!D28</f>
        <v>159558.14362255018</v>
      </c>
      <c r="E6" s="169">
        <f>Combined!E28</f>
        <v>58755.307399456389</v>
      </c>
      <c r="F6" s="169">
        <f>Combined!F28</f>
        <v>71968.6691986816</v>
      </c>
      <c r="G6" s="169">
        <f>Combined!G28</f>
        <v>132388.22050115</v>
      </c>
      <c r="H6" s="169">
        <f>Combined!H28</f>
        <v>63737.509453523904</v>
      </c>
      <c r="J6" s="28"/>
      <c r="K6" s="29"/>
    </row>
    <row r="8" spans="1:11" ht="22.5">
      <c r="A8" s="161" t="s">
        <v>499</v>
      </c>
      <c r="B8" s="162"/>
      <c r="C8" s="162"/>
      <c r="D8" s="162"/>
      <c r="E8" s="162"/>
      <c r="F8" s="162"/>
      <c r="G8" s="162"/>
      <c r="H8" s="162"/>
    </row>
    <row r="9" spans="1:11">
      <c r="A9" s="199" t="s">
        <v>486</v>
      </c>
      <c r="B9" s="81">
        <f>SUM('PPA-Budget'!D31,'PPA-Budget'!D43,'PPA-Budget'!D51,'PPA-Budget'!D57,'PPA-Budget'!D61,'PPA-Budget'!D77,'PPA-Budget'!D83,'PPA-Budget'!D96,'PPA-Budget'!D99:D104,'PPA-Budget'!D109:D123)+Facilities!C47+Facilities!C21</f>
        <v>2082182.0154260315</v>
      </c>
      <c r="C9" s="81">
        <f>SUM('PPA-Budget'!E31,'PPA-Budget'!E43,'PPA-Budget'!E51,'PPA-Budget'!E57,'PPA-Budget'!E61,'PPA-Budget'!E77,'PPA-Budget'!E83,'PPA-Budget'!E96,'PPA-Budget'!E99:E104,'PPA-Budget'!E109:E123)+Facilities!D47+Facilities!D21</f>
        <v>2138321.1481852885</v>
      </c>
      <c r="D9" s="81">
        <f>SUM('PPA-Budget'!F31,'PPA-Budget'!F43,'PPA-Budget'!F51,'PPA-Budget'!F57,'PPA-Budget'!F61,'PPA-Budget'!F77,'PPA-Budget'!F83,'PPA-Budget'!F96,'PPA-Budget'!F99:F104,'PPA-Budget'!F109:F123)+Facilities!E47+Facilities!E21</f>
        <v>2140054.8962426949</v>
      </c>
      <c r="E9" s="81">
        <f>SUM('PPA-Budget'!G31,'PPA-Budget'!G43,'PPA-Budget'!G51,'PPA-Budget'!G57,'PPA-Budget'!G61,'PPA-Budget'!G77,'PPA-Budget'!G83,'PPA-Budget'!G96,'PPA-Budget'!G99:G104,'PPA-Budget'!G109:G123)+Facilities!F48+Facilities!F21</f>
        <v>2167801.6639308417</v>
      </c>
      <c r="F9" s="81">
        <f>SUM('PPA-Budget'!H31,'PPA-Budget'!H43,'PPA-Budget'!H51,'PPA-Budget'!H57,'PPA-Budget'!H61,'PPA-Budget'!H77,'PPA-Budget'!H83,'PPA-Budget'!H96,'PPA-Budget'!H99:H104,'PPA-Budget'!H109:H123)+Facilities!G48+Facilities!G21</f>
        <v>2193493.489403388</v>
      </c>
      <c r="G9" s="81">
        <f>SUM('PPA-Budget'!I31,'PPA-Budget'!I43,'PPA-Budget'!I51,'PPA-Budget'!I57,'PPA-Budget'!I61,'PPA-Budget'!I77,'PPA-Budget'!I83,'PPA-Budget'!I96,'PPA-Budget'!I99:I104,'PPA-Budget'!I109:I123)+Facilities!H48+Facilities!H21</f>
        <v>2188909.7480712286</v>
      </c>
      <c r="H9" s="81">
        <f>SUM('PPA-Budget'!J31,'PPA-Budget'!J43,'PPA-Budget'!J51,'PPA-Budget'!J57,'PPA-Budget'!J61,'PPA-Budget'!J77,'PPA-Budget'!J83,'PPA-Budget'!J96,'PPA-Budget'!J99:J104,'PPA-Budget'!J109:J123)+Facilities!I48+Facilities!I21</f>
        <v>2226187.8638805994</v>
      </c>
    </row>
    <row r="10" spans="1:11">
      <c r="A10" s="199" t="s">
        <v>487</v>
      </c>
      <c r="B10" s="81">
        <f>SUM('PPAJr-Budget'!D31,'PPAJr-Budget'!D43,'PPAJr-Budget'!D51,'PPAJr-Budget'!D57,'PPAJr-Budget'!D61,'PPAJr-Budget'!D77,'PPAJr-Budget'!D83,'PPAJr-Budget'!D96,'PPAJr-Budget'!D99:D104,'PPAJr-Budget'!D110:D123)</f>
        <v>15745.9</v>
      </c>
      <c r="C10" s="81">
        <f>SUM('PPAJr-Budget'!E31,'PPAJr-Budget'!E43,'PPAJr-Budget'!E51,'PPAJr-Budget'!E57,'PPAJr-Budget'!E61,'PPAJr-Budget'!E77,'PPAJr-Budget'!E83,'PPAJr-Budget'!E96,'PPAJr-Budget'!E99:E104,'PPAJr-Budget'!E110:E123)</f>
        <v>1176881.1423581995</v>
      </c>
      <c r="D10" s="81">
        <f>SUM('PPAJr-Budget'!F31,'PPAJr-Budget'!F43,'PPAJr-Budget'!F51,'PPAJr-Budget'!F57,'PPAJr-Budget'!F61,'PPAJr-Budget'!F77,'PPAJr-Budget'!F83,'PPAJr-Budget'!F96,'PPAJr-Budget'!F99:F104,'PPAJr-Budget'!F110:F123)</f>
        <v>1480457.4977464993</v>
      </c>
      <c r="E10" s="81">
        <f>SUM('PPAJr-Budget'!G31,'PPAJr-Budget'!G43,'PPAJr-Budget'!G51,'PPAJr-Budget'!G57,'PPAJr-Budget'!G61,'PPAJr-Budget'!G77,'PPAJr-Budget'!G83,'PPAJr-Budget'!G96,'PPAJr-Budget'!G99:G104,'PPAJr-Budget'!G110:G123)</f>
        <v>1573014.9809859667</v>
      </c>
      <c r="F10" s="81">
        <f>SUM('PPAJr-Budget'!H31,'PPAJr-Budget'!H43,'PPAJr-Budget'!H51,'PPAJr-Budget'!H57,'PPAJr-Budget'!H61,'PPAJr-Budget'!H77,'PPAJr-Budget'!H83,'PPAJr-Budget'!H96,'PPAJr-Budget'!H99:H104,'PPAJr-Budget'!H110:H123)</f>
        <v>1815814.9706399145</v>
      </c>
      <c r="G10" s="81">
        <f>SUM('PPAJr-Budget'!I31,'PPAJr-Budget'!I43,'PPAJr-Budget'!I51,'PPAJr-Budget'!I57,'PPAJr-Budget'!I61,'PPAJr-Budget'!I77,'PPAJr-Budget'!I83,'PPAJr-Budget'!I96,'PPAJr-Budget'!I99:I104,'PPAJr-Budget'!I110:I123)</f>
        <v>1914486.0140001662</v>
      </c>
      <c r="H10" s="81">
        <f>SUM('PPAJr-Budget'!J31,'PPAJr-Budget'!J43,'PPAJr-Budget'!J51,'PPAJr-Budget'!J57,'PPAJr-Budget'!J61,'PPAJr-Budget'!J77,'PPAJr-Budget'!J83,'PPAJr-Budget'!J96,'PPAJr-Budget'!J99:J104,'PPAJr-Budget'!J110:J123)</f>
        <v>1974878.832642487</v>
      </c>
    </row>
    <row r="11" spans="1:11">
      <c r="A11" s="199" t="s">
        <v>488</v>
      </c>
      <c r="B11" s="81">
        <f>Combined!B16+Combined!B21</f>
        <v>40946.117792000005</v>
      </c>
      <c r="C11" s="81">
        <f>Combined!C16+Combined!C21</f>
        <v>54257.613792000004</v>
      </c>
      <c r="D11" s="81">
        <f>Combined!D16+Combined!D21</f>
        <v>63854.409791999991</v>
      </c>
      <c r="E11" s="81">
        <f>Combined!E16+Combined!E21</f>
        <v>68752.489791999993</v>
      </c>
      <c r="F11" s="81">
        <f>Combined!F16+Combined!F21</f>
        <v>69520.68979199999</v>
      </c>
      <c r="G11" s="81">
        <f>Combined!G16+Combined!G21</f>
        <v>70007.68979199999</v>
      </c>
      <c r="H11" s="81">
        <f>Combined!H16+Combined!H21</f>
        <v>69791.68979199999</v>
      </c>
    </row>
    <row r="12" spans="1:11" ht="8.25" customHeight="1"/>
    <row r="13" spans="1:11">
      <c r="A13" s="199" t="s">
        <v>419</v>
      </c>
      <c r="B13" s="81">
        <f>SUM(Combined!B26)</f>
        <v>2548702.04</v>
      </c>
      <c r="C13" s="81">
        <f>SUM(Combined!C26)</f>
        <v>3837728.8319999999</v>
      </c>
      <c r="D13" s="81">
        <f>SUM(Combined!D26)</f>
        <v>4396678.6072720001</v>
      </c>
      <c r="E13" s="81">
        <f>SUM(Combined!E26)</f>
        <v>4545559.8241920806</v>
      </c>
      <c r="F13" s="81">
        <f>SUM(Combined!F26)</f>
        <v>4828033.2011177996</v>
      </c>
      <c r="G13" s="81">
        <f>SUM(Combined!G26)</f>
        <v>4983027.0544483596</v>
      </c>
      <c r="H13" s="81">
        <f>SUM(Combined!H26)</f>
        <v>5011831.2778524254</v>
      </c>
    </row>
    <row r="14" spans="1:11" ht="8.25" customHeight="1"/>
    <row r="15" spans="1:11">
      <c r="A15" s="199" t="s">
        <v>489</v>
      </c>
      <c r="B15" s="81">
        <f>B13-SUM(B9:B11)</f>
        <v>409828.00678196829</v>
      </c>
      <c r="C15" s="81">
        <f>C13-SUM(C9:C11)</f>
        <v>468268.92766451184</v>
      </c>
      <c r="D15" s="81">
        <f>D13-SUM(D9:D11)</f>
        <v>712311.80349080591</v>
      </c>
      <c r="E15" s="81">
        <f>E13-SUM(E9:E11)</f>
        <v>735990.68948327238</v>
      </c>
      <c r="F15" s="81">
        <f>F13-SUM(F9:F11)</f>
        <v>749204.05128249712</v>
      </c>
      <c r="G15" s="81">
        <f t="shared" ref="G15:H15" si="0">G13-SUM(G9:G11)</f>
        <v>809623.6025849646</v>
      </c>
      <c r="H15" s="81">
        <f t="shared" si="0"/>
        <v>740972.89153733943</v>
      </c>
    </row>
    <row r="16" spans="1:11">
      <c r="A16" s="199" t="s">
        <v>490</v>
      </c>
      <c r="B16" s="200">
        <f>PV((($B$38*$B$40)+($C$38*$C$40)),$B$39,B15-10000)</f>
        <v>-4373563.7004030012</v>
      </c>
      <c r="C16" s="200">
        <f>PV((($B$38*$B$40)+($C$38*$C$40)),$B$39,C15-10000)</f>
        <v>-5012826.2979563437</v>
      </c>
      <c r="D16" s="200">
        <f t="shared" ref="D16:H16" si="1">PV((($B$38*$B$40)+($C$38*$C$40)),$B$39,D15-10000)</f>
        <v>-7682316.7912470512</v>
      </c>
      <c r="E16" s="200">
        <f t="shared" si="1"/>
        <v>-7941330.9535518587</v>
      </c>
      <c r="F16" s="200">
        <f t="shared" si="1"/>
        <v>-8085866.8003288312</v>
      </c>
      <c r="G16" s="200">
        <f t="shared" si="1"/>
        <v>-8746772.8696608059</v>
      </c>
      <c r="H16" s="200">
        <f t="shared" si="1"/>
        <v>-7995829.3320599534</v>
      </c>
    </row>
    <row r="17" spans="1:8">
      <c r="B17" s="201"/>
      <c r="C17" s="201"/>
      <c r="D17" s="201"/>
      <c r="E17" s="201"/>
      <c r="F17" s="201"/>
    </row>
    <row r="18" spans="1:8">
      <c r="B18" s="201"/>
      <c r="C18" s="201"/>
      <c r="D18" s="201"/>
      <c r="E18" s="201"/>
      <c r="F18" s="201"/>
    </row>
    <row r="19" spans="1:8" ht="23.25" thickBot="1">
      <c r="A19" s="34" t="s">
        <v>500</v>
      </c>
      <c r="B19" s="35"/>
      <c r="C19" s="35"/>
      <c r="D19" s="35"/>
      <c r="E19" s="35"/>
      <c r="F19" s="35"/>
      <c r="G19" s="35"/>
      <c r="H19" s="35"/>
    </row>
    <row r="21" spans="1:8" ht="26.25">
      <c r="A21" s="187" t="s">
        <v>525</v>
      </c>
      <c r="B21" s="182">
        <v>40575</v>
      </c>
      <c r="C21" s="202">
        <f>((DATE(2011,6,30)-B21)/(DATE(2011,6,30)-DATE(2010,7,1)))</f>
        <v>0.40934065934065933</v>
      </c>
      <c r="D21" s="203" t="str">
        <f>IF(OR(J63:J74),ROUND(((DATE(2011,6,30)-B21)/(DATE(2011,6,30)-DATE(2010,7,1)))*100,0)&amp;"% of the fiscal year with the purchase price.","ERROR - USE FIRST DAY OF MONTH!")</f>
        <v>41% of the fiscal year with the purchase price.</v>
      </c>
    </row>
    <row r="24" spans="1:8">
      <c r="A24" s="194" t="s">
        <v>480</v>
      </c>
      <c r="B24" s="172">
        <v>5200000</v>
      </c>
    </row>
    <row r="25" spans="1:8">
      <c r="A25" s="194" t="s">
        <v>481</v>
      </c>
      <c r="B25" s="172">
        <f>0.015*B24</f>
        <v>78000</v>
      </c>
    </row>
    <row r="26" spans="1:8">
      <c r="A26" s="194" t="s">
        <v>482</v>
      </c>
      <c r="B26" s="172">
        <v>85000</v>
      </c>
    </row>
    <row r="27" spans="1:8">
      <c r="A27" s="194" t="s">
        <v>483</v>
      </c>
      <c r="B27" s="172">
        <v>2000000</v>
      </c>
    </row>
    <row r="28" spans="1:8">
      <c r="A28" s="194" t="s">
        <v>484</v>
      </c>
      <c r="B28" s="81">
        <f>SUM(B52:H52)</f>
        <v>45000</v>
      </c>
    </row>
    <row r="29" spans="1:8">
      <c r="B29" s="204"/>
    </row>
    <row r="30" spans="1:8">
      <c r="A30" s="194" t="s">
        <v>485</v>
      </c>
      <c r="B30" s="81">
        <f>SUM(B24:B28)</f>
        <v>7408000</v>
      </c>
    </row>
    <row r="32" spans="1:8">
      <c r="A32" s="194" t="s">
        <v>514</v>
      </c>
      <c r="B32" s="172" t="b">
        <v>1</v>
      </c>
    </row>
    <row r="33" spans="1:5">
      <c r="A33" s="194" t="s">
        <v>515</v>
      </c>
      <c r="B33" s="172" t="b">
        <v>1</v>
      </c>
    </row>
    <row r="37" spans="1:5">
      <c r="B37" s="198" t="s">
        <v>491</v>
      </c>
      <c r="C37" s="198" t="s">
        <v>492</v>
      </c>
    </row>
    <row r="38" spans="1:5">
      <c r="A38" s="194" t="s">
        <v>493</v>
      </c>
      <c r="B38" s="170">
        <v>0.85</v>
      </c>
      <c r="C38" s="170">
        <v>0.15</v>
      </c>
      <c r="E38" s="205"/>
    </row>
    <row r="39" spans="1:5">
      <c r="A39" s="194" t="s">
        <v>494</v>
      </c>
      <c r="B39" s="261">
        <v>20</v>
      </c>
      <c r="C39" s="261">
        <v>20</v>
      </c>
    </row>
    <row r="40" spans="1:5">
      <c r="A40" s="194" t="s">
        <v>495</v>
      </c>
      <c r="B40" s="171">
        <v>6.608E-2</v>
      </c>
      <c r="C40" s="171">
        <v>6.5000000000000002E-2</v>
      </c>
    </row>
    <row r="42" spans="1:5">
      <c r="A42" s="194" t="s">
        <v>496</v>
      </c>
      <c r="B42" s="81">
        <f>B30*B38</f>
        <v>6296800</v>
      </c>
      <c r="C42" s="81">
        <f>B30*C38</f>
        <v>1111200</v>
      </c>
    </row>
    <row r="44" spans="1:5">
      <c r="A44" s="194" t="s">
        <v>497</v>
      </c>
      <c r="B44" s="206">
        <f>-PMT(B40,B39,B42)</f>
        <v>576386.87556166691</v>
      </c>
      <c r="C44" s="206">
        <f>-PMT(C40,C39,C42)</f>
        <v>100848.50652214797</v>
      </c>
    </row>
    <row r="45" spans="1:5">
      <c r="A45" s="194" t="s">
        <v>512</v>
      </c>
      <c r="B45" s="207">
        <f>-IPMT(B40,1,B39,B42)</f>
        <v>416092.54399999999</v>
      </c>
      <c r="C45" s="207">
        <f>-IPMT(C40,1,C39,C42)</f>
        <v>72228</v>
      </c>
    </row>
    <row r="46" spans="1:5">
      <c r="A46" s="194" t="s">
        <v>513</v>
      </c>
      <c r="B46" s="207">
        <f>-IPMT(B40,2,B39,B42)</f>
        <v>405500.29457040498</v>
      </c>
      <c r="C46" s="207">
        <f>-IPMT(C40,2,C39,C42)</f>
        <v>70367.667076060374</v>
      </c>
    </row>
    <row r="47" spans="1:5">
      <c r="B47" s="208"/>
      <c r="C47" s="208"/>
    </row>
    <row r="48" spans="1:5">
      <c r="A48" s="194" t="s">
        <v>498</v>
      </c>
      <c r="C48" s="209">
        <f>SUM(A44:C44)</f>
        <v>677235.38208381482</v>
      </c>
    </row>
    <row r="51" spans="1:17">
      <c r="A51" s="193" t="s">
        <v>501</v>
      </c>
      <c r="B51" s="192" t="s">
        <v>22</v>
      </c>
      <c r="C51" s="192" t="s">
        <v>98</v>
      </c>
      <c r="D51" s="192" t="s">
        <v>99</v>
      </c>
      <c r="E51" s="192" t="s">
        <v>100</v>
      </c>
      <c r="F51" s="192" t="s">
        <v>101</v>
      </c>
      <c r="G51" s="192" t="s">
        <v>102</v>
      </c>
      <c r="H51" s="192" t="s">
        <v>103</v>
      </c>
    </row>
    <row r="52" spans="1:17">
      <c r="A52" s="173" t="s">
        <v>502</v>
      </c>
      <c r="B52" s="172">
        <v>35000</v>
      </c>
      <c r="C52" s="172">
        <v>10000</v>
      </c>
      <c r="D52" s="172"/>
      <c r="E52" s="172"/>
      <c r="F52" s="172"/>
      <c r="G52" s="172"/>
      <c r="H52" s="172"/>
    </row>
    <row r="54" spans="1:17">
      <c r="A54" s="193" t="s">
        <v>503</v>
      </c>
      <c r="B54" s="192" t="s">
        <v>22</v>
      </c>
      <c r="C54" s="192" t="s">
        <v>98</v>
      </c>
      <c r="D54" s="192" t="s">
        <v>99</v>
      </c>
      <c r="E54" s="192" t="s">
        <v>100</v>
      </c>
      <c r="F54" s="192" t="s">
        <v>101</v>
      </c>
      <c r="G54" s="192" t="s">
        <v>102</v>
      </c>
      <c r="H54" s="192" t="s">
        <v>103</v>
      </c>
    </row>
    <row r="55" spans="1:17">
      <c r="A55" s="173" t="s">
        <v>502</v>
      </c>
      <c r="B55" s="172"/>
      <c r="C55" s="172"/>
      <c r="D55" s="172"/>
      <c r="E55" s="172"/>
      <c r="F55" s="172"/>
      <c r="G55" s="172"/>
      <c r="H55" s="172"/>
    </row>
    <row r="57" spans="1:17">
      <c r="A57" s="193" t="s">
        <v>336</v>
      </c>
      <c r="B57" s="192" t="s">
        <v>518</v>
      </c>
      <c r="C57" s="192" t="s">
        <v>519</v>
      </c>
      <c r="D57" s="192" t="s">
        <v>520</v>
      </c>
      <c r="E57" s="192" t="s">
        <v>521</v>
      </c>
      <c r="F57" s="192" t="s">
        <v>522</v>
      </c>
      <c r="G57" s="192" t="s">
        <v>523</v>
      </c>
      <c r="H57" s="192" t="s">
        <v>524</v>
      </c>
    </row>
    <row r="58" spans="1:17">
      <c r="A58" s="173" t="s">
        <v>502</v>
      </c>
      <c r="B58" s="212">
        <f>IF($B$32,SUM($B$45:$C$45),$C$48)</f>
        <v>488320.54399999999</v>
      </c>
      <c r="C58" s="212">
        <f>IF($B$32,SUM($B$45:$C$45),$C$48)</f>
        <v>488320.54399999999</v>
      </c>
      <c r="D58" s="212">
        <f>$C$48-D52</f>
        <v>677235.38208381482</v>
      </c>
      <c r="E58" s="212">
        <f t="shared" ref="E58:H58" si="2">$C$48-E52</f>
        <v>677235.38208381482</v>
      </c>
      <c r="F58" s="212">
        <f t="shared" si="2"/>
        <v>677235.38208381482</v>
      </c>
      <c r="G58" s="212">
        <f>$C$48-G52</f>
        <v>677235.38208381482</v>
      </c>
      <c r="H58" s="212">
        <f t="shared" si="2"/>
        <v>677235.38208381482</v>
      </c>
    </row>
    <row r="61" spans="1:17">
      <c r="J61" s="263"/>
      <c r="K61" s="263" t="s">
        <v>22</v>
      </c>
      <c r="L61" s="263" t="s">
        <v>98</v>
      </c>
      <c r="M61" s="263" t="s">
        <v>99</v>
      </c>
      <c r="N61" s="263" t="s">
        <v>100</v>
      </c>
      <c r="O61" s="263" t="s">
        <v>101</v>
      </c>
      <c r="P61" s="263" t="s">
        <v>102</v>
      </c>
      <c r="Q61" s="263" t="s">
        <v>103</v>
      </c>
    </row>
    <row r="62" spans="1:17">
      <c r="A62" s="193" t="s">
        <v>336</v>
      </c>
      <c r="B62" s="192" t="s">
        <v>22</v>
      </c>
      <c r="C62" s="192" t="s">
        <v>98</v>
      </c>
      <c r="D62" s="192" t="s">
        <v>99</v>
      </c>
      <c r="E62" s="192" t="s">
        <v>100</v>
      </c>
      <c r="F62" s="192" t="s">
        <v>101</v>
      </c>
      <c r="G62" s="192" t="s">
        <v>102</v>
      </c>
      <c r="H62" s="192" t="s">
        <v>103</v>
      </c>
      <c r="J62" s="263"/>
      <c r="K62" s="263"/>
      <c r="L62" s="263"/>
      <c r="M62" s="263"/>
      <c r="N62" s="263"/>
      <c r="O62" s="263"/>
      <c r="P62" s="263"/>
      <c r="Q62" s="263"/>
    </row>
    <row r="63" spans="1:17">
      <c r="A63" s="189">
        <v>40360</v>
      </c>
      <c r="B63" s="81">
        <f>IF(K63=0,B$78,IF(K63&lt;=12,$B$58,IF(K63&lt;=24,$C$58,IF(K63&lt;=36,$D$58,IF(K63&lt;=48,$E$58,IF(K63&lt;=60,$F$58,IF(K63&lt;=72,$G$58,$H$58)))))))/12</f>
        <v>36265.25</v>
      </c>
      <c r="C63" s="81">
        <f t="shared" ref="C63:H74" si="3">IF(L63=0,C$78,IF(L63&lt;=12,$B$58,IF(L63&lt;=24,$C$58,IF(L63&lt;=36,$D$58,IF(L63&lt;=48,$E$58,IF(L63&lt;=60,$F$58,IF(L63&lt;=72,$G$58,$H$58)))))))/12</f>
        <v>40693.378666666664</v>
      </c>
      <c r="D63" s="81">
        <f t="shared" si="3"/>
        <v>40693.378666666664</v>
      </c>
      <c r="E63" s="81">
        <f t="shared" si="3"/>
        <v>56436.281840317904</v>
      </c>
      <c r="F63" s="81">
        <f t="shared" si="3"/>
        <v>56436.281840317904</v>
      </c>
      <c r="G63" s="81">
        <f t="shared" si="3"/>
        <v>56436.281840317904</v>
      </c>
      <c r="H63" s="81">
        <f t="shared" si="3"/>
        <v>56436.281840317904</v>
      </c>
      <c r="J63" s="263" t="b">
        <f>A63=$B$21</f>
        <v>0</v>
      </c>
      <c r="K63" s="264">
        <f>IF(K62&gt;0,K62+1,IF(J63=TRUE,1,0))</f>
        <v>0</v>
      </c>
      <c r="L63" s="264">
        <f t="shared" ref="L63:Q63" si="4">K74+1</f>
        <v>6</v>
      </c>
      <c r="M63" s="264">
        <f t="shared" si="4"/>
        <v>18</v>
      </c>
      <c r="N63" s="264">
        <f t="shared" si="4"/>
        <v>30</v>
      </c>
      <c r="O63" s="264">
        <f t="shared" si="4"/>
        <v>42</v>
      </c>
      <c r="P63" s="264">
        <f t="shared" si="4"/>
        <v>54</v>
      </c>
      <c r="Q63" s="264">
        <f t="shared" si="4"/>
        <v>66</v>
      </c>
    </row>
    <row r="64" spans="1:17">
      <c r="A64" s="189">
        <v>40391</v>
      </c>
      <c r="B64" s="81">
        <f t="shared" ref="B64:B74" si="5">IF(K64=0,B$78,IF(K64&lt;=12,$B$58,IF(K64&lt;=24,$C$58,IF(K64&lt;=36,$D$58,IF(K64&lt;=48,$E$58,IF(K64&lt;=60,$F$58,IF(K64&lt;=72,$G$58,$H$58)))))))/12</f>
        <v>36265.25</v>
      </c>
      <c r="C64" s="81">
        <f t="shared" si="3"/>
        <v>40693.378666666664</v>
      </c>
      <c r="D64" s="81">
        <f t="shared" si="3"/>
        <v>40693.378666666664</v>
      </c>
      <c r="E64" s="81">
        <f t="shared" si="3"/>
        <v>56436.281840317904</v>
      </c>
      <c r="F64" s="81">
        <f t="shared" si="3"/>
        <v>56436.281840317904</v>
      </c>
      <c r="G64" s="81">
        <f t="shared" si="3"/>
        <v>56436.281840317904</v>
      </c>
      <c r="H64" s="81">
        <f t="shared" si="3"/>
        <v>56436.281840317904</v>
      </c>
      <c r="J64" s="263" t="b">
        <f t="shared" ref="J64:J74" si="6">A64=$B$21</f>
        <v>0</v>
      </c>
      <c r="K64" s="264">
        <f t="shared" ref="K64:K74" si="7">IF(K63&gt;0,K63+1,IF(J64=TRUE,1,0))</f>
        <v>0</v>
      </c>
      <c r="L64" s="264">
        <f t="shared" ref="L64:Q64" si="8">1+L63</f>
        <v>7</v>
      </c>
      <c r="M64" s="264">
        <f t="shared" si="8"/>
        <v>19</v>
      </c>
      <c r="N64" s="264">
        <f t="shared" si="8"/>
        <v>31</v>
      </c>
      <c r="O64" s="264">
        <f t="shared" si="8"/>
        <v>43</v>
      </c>
      <c r="P64" s="264">
        <f t="shared" si="8"/>
        <v>55</v>
      </c>
      <c r="Q64" s="264">
        <f t="shared" si="8"/>
        <v>67</v>
      </c>
    </row>
    <row r="65" spans="1:17">
      <c r="A65" s="189">
        <v>40422</v>
      </c>
      <c r="B65" s="81">
        <f t="shared" si="5"/>
        <v>36265.25</v>
      </c>
      <c r="C65" s="81">
        <f t="shared" si="3"/>
        <v>40693.378666666664</v>
      </c>
      <c r="D65" s="81">
        <f t="shared" si="3"/>
        <v>40693.378666666664</v>
      </c>
      <c r="E65" s="81">
        <f t="shared" si="3"/>
        <v>56436.281840317904</v>
      </c>
      <c r="F65" s="81">
        <f t="shared" si="3"/>
        <v>56436.281840317904</v>
      </c>
      <c r="G65" s="81">
        <f t="shared" si="3"/>
        <v>56436.281840317904</v>
      </c>
      <c r="H65" s="81">
        <f t="shared" si="3"/>
        <v>56436.281840317904</v>
      </c>
      <c r="J65" s="263" t="b">
        <f t="shared" si="6"/>
        <v>0</v>
      </c>
      <c r="K65" s="264">
        <f t="shared" si="7"/>
        <v>0</v>
      </c>
      <c r="L65" s="264">
        <f t="shared" ref="L65:Q74" si="9">1+L64</f>
        <v>8</v>
      </c>
      <c r="M65" s="264">
        <f t="shared" si="9"/>
        <v>20</v>
      </c>
      <c r="N65" s="264">
        <f t="shared" si="9"/>
        <v>32</v>
      </c>
      <c r="O65" s="264">
        <f t="shared" si="9"/>
        <v>44</v>
      </c>
      <c r="P65" s="264">
        <f t="shared" si="9"/>
        <v>56</v>
      </c>
      <c r="Q65" s="264">
        <f t="shared" si="9"/>
        <v>68</v>
      </c>
    </row>
    <row r="66" spans="1:17">
      <c r="A66" s="189">
        <v>40452</v>
      </c>
      <c r="B66" s="81">
        <f t="shared" si="5"/>
        <v>36265.25</v>
      </c>
      <c r="C66" s="81">
        <f t="shared" si="3"/>
        <v>40693.378666666664</v>
      </c>
      <c r="D66" s="81">
        <f t="shared" si="3"/>
        <v>40693.378666666664</v>
      </c>
      <c r="E66" s="81">
        <f t="shared" si="3"/>
        <v>56436.281840317904</v>
      </c>
      <c r="F66" s="81">
        <f t="shared" si="3"/>
        <v>56436.281840317904</v>
      </c>
      <c r="G66" s="81">
        <f t="shared" si="3"/>
        <v>56436.281840317904</v>
      </c>
      <c r="H66" s="81">
        <f t="shared" si="3"/>
        <v>56436.281840317904</v>
      </c>
      <c r="J66" s="263" t="b">
        <f t="shared" si="6"/>
        <v>0</v>
      </c>
      <c r="K66" s="264">
        <f t="shared" si="7"/>
        <v>0</v>
      </c>
      <c r="L66" s="264">
        <f t="shared" si="9"/>
        <v>9</v>
      </c>
      <c r="M66" s="264">
        <f t="shared" si="9"/>
        <v>21</v>
      </c>
      <c r="N66" s="264">
        <f t="shared" si="9"/>
        <v>33</v>
      </c>
      <c r="O66" s="264">
        <f t="shared" si="9"/>
        <v>45</v>
      </c>
      <c r="P66" s="264">
        <f t="shared" si="9"/>
        <v>57</v>
      </c>
      <c r="Q66" s="264">
        <f t="shared" si="9"/>
        <v>69</v>
      </c>
    </row>
    <row r="67" spans="1:17">
      <c r="A67" s="189">
        <v>40483</v>
      </c>
      <c r="B67" s="81">
        <f t="shared" si="5"/>
        <v>36265.25</v>
      </c>
      <c r="C67" s="81">
        <f t="shared" si="3"/>
        <v>40693.378666666664</v>
      </c>
      <c r="D67" s="81">
        <f t="shared" si="3"/>
        <v>40693.378666666664</v>
      </c>
      <c r="E67" s="81">
        <f t="shared" si="3"/>
        <v>56436.281840317904</v>
      </c>
      <c r="F67" s="81">
        <f t="shared" si="3"/>
        <v>56436.281840317904</v>
      </c>
      <c r="G67" s="81">
        <f t="shared" si="3"/>
        <v>56436.281840317904</v>
      </c>
      <c r="H67" s="81">
        <f t="shared" si="3"/>
        <v>56436.281840317904</v>
      </c>
      <c r="J67" s="263" t="b">
        <f t="shared" si="6"/>
        <v>0</v>
      </c>
      <c r="K67" s="264">
        <f t="shared" si="7"/>
        <v>0</v>
      </c>
      <c r="L67" s="264">
        <f t="shared" si="9"/>
        <v>10</v>
      </c>
      <c r="M67" s="264">
        <f t="shared" si="9"/>
        <v>22</v>
      </c>
      <c r="N67" s="264">
        <f t="shared" si="9"/>
        <v>34</v>
      </c>
      <c r="O67" s="264">
        <f t="shared" si="9"/>
        <v>46</v>
      </c>
      <c r="P67" s="264">
        <f t="shared" si="9"/>
        <v>58</v>
      </c>
      <c r="Q67" s="264">
        <f t="shared" si="9"/>
        <v>70</v>
      </c>
    </row>
    <row r="68" spans="1:17">
      <c r="A68" s="189">
        <v>40513</v>
      </c>
      <c r="B68" s="81">
        <f t="shared" si="5"/>
        <v>36265.25</v>
      </c>
      <c r="C68" s="81">
        <f t="shared" si="3"/>
        <v>40693.378666666664</v>
      </c>
      <c r="D68" s="81">
        <f t="shared" si="3"/>
        <v>40693.378666666664</v>
      </c>
      <c r="E68" s="81">
        <f t="shared" si="3"/>
        <v>56436.281840317904</v>
      </c>
      <c r="F68" s="81">
        <f t="shared" si="3"/>
        <v>56436.281840317904</v>
      </c>
      <c r="G68" s="81">
        <f t="shared" si="3"/>
        <v>56436.281840317904</v>
      </c>
      <c r="H68" s="81">
        <f t="shared" si="3"/>
        <v>56436.281840317904</v>
      </c>
      <c r="J68" s="263" t="b">
        <f t="shared" si="6"/>
        <v>0</v>
      </c>
      <c r="K68" s="264">
        <f t="shared" si="7"/>
        <v>0</v>
      </c>
      <c r="L68" s="264">
        <f t="shared" si="9"/>
        <v>11</v>
      </c>
      <c r="M68" s="264">
        <f t="shared" si="9"/>
        <v>23</v>
      </c>
      <c r="N68" s="264">
        <f t="shared" si="9"/>
        <v>35</v>
      </c>
      <c r="O68" s="264">
        <f t="shared" si="9"/>
        <v>47</v>
      </c>
      <c r="P68" s="264">
        <f t="shared" si="9"/>
        <v>59</v>
      </c>
      <c r="Q68" s="264">
        <f t="shared" si="9"/>
        <v>71</v>
      </c>
    </row>
    <row r="69" spans="1:17">
      <c r="A69" s="189">
        <v>40544</v>
      </c>
      <c r="B69" s="81">
        <f t="shared" si="5"/>
        <v>36265.25</v>
      </c>
      <c r="C69" s="81">
        <f t="shared" si="3"/>
        <v>40693.378666666664</v>
      </c>
      <c r="D69" s="81">
        <f t="shared" si="3"/>
        <v>40693.378666666664</v>
      </c>
      <c r="E69" s="81">
        <f t="shared" si="3"/>
        <v>56436.281840317904</v>
      </c>
      <c r="F69" s="81">
        <f t="shared" si="3"/>
        <v>56436.281840317904</v>
      </c>
      <c r="G69" s="81">
        <f t="shared" si="3"/>
        <v>56436.281840317904</v>
      </c>
      <c r="H69" s="81">
        <f t="shared" si="3"/>
        <v>56436.281840317904</v>
      </c>
      <c r="J69" s="263" t="b">
        <f t="shared" si="6"/>
        <v>0</v>
      </c>
      <c r="K69" s="264">
        <f t="shared" si="7"/>
        <v>0</v>
      </c>
      <c r="L69" s="264">
        <f t="shared" si="9"/>
        <v>12</v>
      </c>
      <c r="M69" s="264">
        <f t="shared" si="9"/>
        <v>24</v>
      </c>
      <c r="N69" s="264">
        <f t="shared" si="9"/>
        <v>36</v>
      </c>
      <c r="O69" s="264">
        <f t="shared" si="9"/>
        <v>48</v>
      </c>
      <c r="P69" s="264">
        <f t="shared" si="9"/>
        <v>60</v>
      </c>
      <c r="Q69" s="264">
        <f t="shared" si="9"/>
        <v>72</v>
      </c>
    </row>
    <row r="70" spans="1:17">
      <c r="A70" s="189">
        <v>40575</v>
      </c>
      <c r="B70" s="81">
        <f t="shared" si="5"/>
        <v>40693.378666666664</v>
      </c>
      <c r="C70" s="81">
        <f t="shared" si="3"/>
        <v>40693.378666666664</v>
      </c>
      <c r="D70" s="81">
        <f t="shared" si="3"/>
        <v>56436.281840317904</v>
      </c>
      <c r="E70" s="81">
        <f t="shared" si="3"/>
        <v>56436.281840317904</v>
      </c>
      <c r="F70" s="81">
        <f t="shared" si="3"/>
        <v>56436.281840317904</v>
      </c>
      <c r="G70" s="81">
        <f t="shared" si="3"/>
        <v>56436.281840317904</v>
      </c>
      <c r="H70" s="81">
        <f t="shared" si="3"/>
        <v>56436.281840317904</v>
      </c>
      <c r="J70" s="263" t="b">
        <f t="shared" si="6"/>
        <v>1</v>
      </c>
      <c r="K70" s="264">
        <f t="shared" si="7"/>
        <v>1</v>
      </c>
      <c r="L70" s="264">
        <f t="shared" si="9"/>
        <v>13</v>
      </c>
      <c r="M70" s="264">
        <f t="shared" si="9"/>
        <v>25</v>
      </c>
      <c r="N70" s="264">
        <f t="shared" si="9"/>
        <v>37</v>
      </c>
      <c r="O70" s="264">
        <f t="shared" si="9"/>
        <v>49</v>
      </c>
      <c r="P70" s="264">
        <f t="shared" si="9"/>
        <v>61</v>
      </c>
      <c r="Q70" s="264">
        <f t="shared" si="9"/>
        <v>73</v>
      </c>
    </row>
    <row r="71" spans="1:17">
      <c r="A71" s="189">
        <v>40603</v>
      </c>
      <c r="B71" s="81">
        <f t="shared" si="5"/>
        <v>40693.378666666664</v>
      </c>
      <c r="C71" s="81">
        <f t="shared" si="3"/>
        <v>40693.378666666664</v>
      </c>
      <c r="D71" s="81">
        <f t="shared" si="3"/>
        <v>56436.281840317904</v>
      </c>
      <c r="E71" s="81">
        <f t="shared" si="3"/>
        <v>56436.281840317904</v>
      </c>
      <c r="F71" s="81">
        <f t="shared" si="3"/>
        <v>56436.281840317904</v>
      </c>
      <c r="G71" s="81">
        <f t="shared" si="3"/>
        <v>56436.281840317904</v>
      </c>
      <c r="H71" s="81">
        <f t="shared" si="3"/>
        <v>56436.281840317904</v>
      </c>
      <c r="J71" s="263" t="b">
        <f t="shared" si="6"/>
        <v>0</v>
      </c>
      <c r="K71" s="264">
        <f t="shared" si="7"/>
        <v>2</v>
      </c>
      <c r="L71" s="264">
        <f t="shared" si="9"/>
        <v>14</v>
      </c>
      <c r="M71" s="264">
        <f t="shared" si="9"/>
        <v>26</v>
      </c>
      <c r="N71" s="264">
        <f t="shared" si="9"/>
        <v>38</v>
      </c>
      <c r="O71" s="264">
        <f t="shared" si="9"/>
        <v>50</v>
      </c>
      <c r="P71" s="264">
        <f t="shared" si="9"/>
        <v>62</v>
      </c>
      <c r="Q71" s="264">
        <f t="shared" si="9"/>
        <v>74</v>
      </c>
    </row>
    <row r="72" spans="1:17">
      <c r="A72" s="189">
        <v>40634</v>
      </c>
      <c r="B72" s="81">
        <f t="shared" si="5"/>
        <v>40693.378666666664</v>
      </c>
      <c r="C72" s="81">
        <f t="shared" si="3"/>
        <v>40693.378666666664</v>
      </c>
      <c r="D72" s="81">
        <f t="shared" si="3"/>
        <v>56436.281840317904</v>
      </c>
      <c r="E72" s="81">
        <f t="shared" si="3"/>
        <v>56436.281840317904</v>
      </c>
      <c r="F72" s="81">
        <f t="shared" si="3"/>
        <v>56436.281840317904</v>
      </c>
      <c r="G72" s="81">
        <f t="shared" si="3"/>
        <v>56436.281840317904</v>
      </c>
      <c r="H72" s="81">
        <f t="shared" si="3"/>
        <v>56436.281840317904</v>
      </c>
      <c r="J72" s="263" t="b">
        <f t="shared" si="6"/>
        <v>0</v>
      </c>
      <c r="K72" s="264">
        <f t="shared" si="7"/>
        <v>3</v>
      </c>
      <c r="L72" s="264">
        <f t="shared" si="9"/>
        <v>15</v>
      </c>
      <c r="M72" s="264">
        <f t="shared" si="9"/>
        <v>27</v>
      </c>
      <c r="N72" s="264">
        <f t="shared" si="9"/>
        <v>39</v>
      </c>
      <c r="O72" s="264">
        <f t="shared" si="9"/>
        <v>51</v>
      </c>
      <c r="P72" s="264">
        <f t="shared" si="9"/>
        <v>63</v>
      </c>
      <c r="Q72" s="264">
        <f t="shared" si="9"/>
        <v>75</v>
      </c>
    </row>
    <row r="73" spans="1:17">
      <c r="A73" s="189">
        <v>40664</v>
      </c>
      <c r="B73" s="81">
        <f t="shared" si="5"/>
        <v>40693.378666666664</v>
      </c>
      <c r="C73" s="81">
        <f t="shared" si="3"/>
        <v>40693.378666666664</v>
      </c>
      <c r="D73" s="81">
        <f t="shared" si="3"/>
        <v>56436.281840317904</v>
      </c>
      <c r="E73" s="81">
        <f t="shared" si="3"/>
        <v>56436.281840317904</v>
      </c>
      <c r="F73" s="81">
        <f t="shared" si="3"/>
        <v>56436.281840317904</v>
      </c>
      <c r="G73" s="81">
        <f t="shared" si="3"/>
        <v>56436.281840317904</v>
      </c>
      <c r="H73" s="81">
        <f t="shared" si="3"/>
        <v>56436.281840317904</v>
      </c>
      <c r="J73" s="263" t="b">
        <f t="shared" si="6"/>
        <v>0</v>
      </c>
      <c r="K73" s="264">
        <f t="shared" si="7"/>
        <v>4</v>
      </c>
      <c r="L73" s="264">
        <f t="shared" si="9"/>
        <v>16</v>
      </c>
      <c r="M73" s="264">
        <f t="shared" si="9"/>
        <v>28</v>
      </c>
      <c r="N73" s="264">
        <f t="shared" si="9"/>
        <v>40</v>
      </c>
      <c r="O73" s="264">
        <f t="shared" si="9"/>
        <v>52</v>
      </c>
      <c r="P73" s="264">
        <f t="shared" si="9"/>
        <v>64</v>
      </c>
      <c r="Q73" s="264">
        <f t="shared" si="9"/>
        <v>76</v>
      </c>
    </row>
    <row r="74" spans="1:17">
      <c r="A74" s="189">
        <v>40695</v>
      </c>
      <c r="B74" s="81">
        <f t="shared" si="5"/>
        <v>40693.378666666664</v>
      </c>
      <c r="C74" s="81">
        <f t="shared" si="3"/>
        <v>40693.378666666664</v>
      </c>
      <c r="D74" s="81">
        <f t="shared" si="3"/>
        <v>56436.281840317904</v>
      </c>
      <c r="E74" s="81">
        <f t="shared" si="3"/>
        <v>56436.281840317904</v>
      </c>
      <c r="F74" s="81">
        <f t="shared" si="3"/>
        <v>56436.281840317904</v>
      </c>
      <c r="G74" s="81">
        <f t="shared" si="3"/>
        <v>56436.281840317904</v>
      </c>
      <c r="H74" s="81">
        <f t="shared" si="3"/>
        <v>56436.281840317904</v>
      </c>
      <c r="J74" s="263" t="b">
        <f t="shared" si="6"/>
        <v>0</v>
      </c>
      <c r="K74" s="264">
        <f t="shared" si="7"/>
        <v>5</v>
      </c>
      <c r="L74" s="264">
        <f t="shared" si="9"/>
        <v>17</v>
      </c>
      <c r="M74" s="264">
        <f t="shared" si="9"/>
        <v>29</v>
      </c>
      <c r="N74" s="264">
        <f t="shared" si="9"/>
        <v>41</v>
      </c>
      <c r="O74" s="264">
        <f t="shared" si="9"/>
        <v>53</v>
      </c>
      <c r="P74" s="264">
        <f t="shared" si="9"/>
        <v>65</v>
      </c>
      <c r="Q74" s="264">
        <f t="shared" si="9"/>
        <v>77</v>
      </c>
    </row>
    <row r="75" spans="1:17">
      <c r="B75" s="210"/>
      <c r="C75" s="210"/>
      <c r="D75" s="210"/>
      <c r="E75" s="210"/>
      <c r="F75" s="210"/>
      <c r="G75" s="210"/>
      <c r="H75" s="210"/>
    </row>
    <row r="76" spans="1:17">
      <c r="A76" s="188" t="s">
        <v>47</v>
      </c>
      <c r="B76" s="200">
        <f>SUM(B63:B74)-B52</f>
        <v>422323.64333333343</v>
      </c>
      <c r="C76" s="200">
        <f t="shared" ref="C76:H76" si="10">SUM(C63:C74)-C52</f>
        <v>478320.54400000005</v>
      </c>
      <c r="D76" s="200">
        <f t="shared" si="10"/>
        <v>567035.0598682561</v>
      </c>
      <c r="E76" s="200">
        <f t="shared" si="10"/>
        <v>677235.38208381471</v>
      </c>
      <c r="F76" s="200">
        <f t="shared" si="10"/>
        <v>677235.38208381471</v>
      </c>
      <c r="G76" s="200">
        <f t="shared" si="10"/>
        <v>677235.38208381471</v>
      </c>
      <c r="H76" s="200">
        <f t="shared" si="10"/>
        <v>677235.38208381471</v>
      </c>
    </row>
    <row r="78" spans="1:17">
      <c r="A78" s="199" t="s">
        <v>526</v>
      </c>
      <c r="B78" s="211">
        <f>Facilities!C18+Facilities!C19+Facilities!C20</f>
        <v>435183</v>
      </c>
      <c r="C78" s="211">
        <f>Facilities!D18+Facilities!D19+Facilities!D20</f>
        <v>441393</v>
      </c>
      <c r="D78" s="211">
        <f>Facilities!E18+Facilities!E19+Facilities!E20</f>
        <v>440736</v>
      </c>
      <c r="E78" s="211">
        <f>Facilities!F18+Facilities!F19+Facilities!F20</f>
        <v>456168</v>
      </c>
      <c r="F78" s="211">
        <f>Facilities!G18+Facilities!G19+Facilities!G20</f>
        <v>429132</v>
      </c>
      <c r="G78" s="211">
        <f>Facilities!H18+Facilities!H19+Facilities!H20</f>
        <v>445368</v>
      </c>
      <c r="H78" s="211">
        <f>Facilities!I18+Facilities!I19+Facilities!I20</f>
        <v>460764</v>
      </c>
    </row>
  </sheetData>
  <sheetProtection password="DF03" sheet="1" objects="1" scenarios="1"/>
  <pageMargins left="0.5" right="0.5" top="0.5" bottom="0.5" header="0.3" footer="0.3"/>
  <pageSetup orientation="landscape" r:id="rId1"/>
  <headerFooter>
    <oddFooter>&amp;LBuilding Purchase Estimates&amp;CPinellas Preparatory Academy, Inc.&amp;RPage &amp;P or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3"/>
  <sheetViews>
    <sheetView showGridLines="0" view="pageLayout" zoomScaleNormal="100" workbookViewId="0"/>
  </sheetViews>
  <sheetFormatPr defaultRowHeight="12.75"/>
  <cols>
    <col min="1" max="1" width="14" style="26" bestFit="1" customWidth="1"/>
    <col min="2" max="2" width="21.42578125" style="26" customWidth="1"/>
    <col min="3" max="9" width="12.85546875" style="26" customWidth="1"/>
    <col min="10" max="10" width="1.5703125" style="26" customWidth="1"/>
    <col min="11" max="11" width="12.28515625" style="26" bestFit="1" customWidth="1"/>
    <col min="12" max="12" width="11.85546875" style="26" bestFit="1" customWidth="1"/>
    <col min="13" max="13" width="11.28515625" style="26" bestFit="1" customWidth="1"/>
    <col min="14" max="14" width="10" style="26" bestFit="1" customWidth="1"/>
    <col min="15" max="15" width="8.7109375" style="26" bestFit="1" customWidth="1"/>
    <col min="16" max="16" width="9.7109375" style="26" bestFit="1" customWidth="1"/>
    <col min="17" max="17" width="8.28515625" style="26" bestFit="1" customWidth="1"/>
    <col min="18" max="18" width="8.7109375" style="26" bestFit="1" customWidth="1"/>
    <col min="19" max="16384" width="9.140625" style="26"/>
  </cols>
  <sheetData>
    <row r="1" spans="1:11" ht="27">
      <c r="A1" s="295" t="s">
        <v>546</v>
      </c>
      <c r="B1" s="295"/>
      <c r="C1" s="295"/>
      <c r="D1" s="295"/>
      <c r="E1" s="295"/>
      <c r="F1" s="295"/>
      <c r="G1" s="295"/>
      <c r="H1" s="295"/>
      <c r="I1" s="295"/>
    </row>
    <row r="2" spans="1:11">
      <c r="B2" s="27" t="s">
        <v>42</v>
      </c>
      <c r="J2" s="28"/>
      <c r="K2" s="29"/>
    </row>
    <row r="3" spans="1:11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J3" s="28"/>
      <c r="K3" s="29"/>
    </row>
    <row r="4" spans="1:11">
      <c r="B4" s="194" t="s">
        <v>468</v>
      </c>
      <c r="C4" s="197">
        <f>Combined!B10</f>
        <v>2481454.04</v>
      </c>
      <c r="D4" s="197">
        <f>Combined!C10</f>
        <v>2466474.1088</v>
      </c>
      <c r="E4" s="197">
        <f>Combined!D10</f>
        <v>2475847.8210960003</v>
      </c>
      <c r="F4" s="197">
        <f>Combined!E10</f>
        <v>2486553.00881832</v>
      </c>
      <c r="G4" s="197">
        <f>Combined!F10</f>
        <v>2498243.7596569546</v>
      </c>
      <c r="H4" s="197">
        <f>Combined!G10</f>
        <v>2511101.2403439395</v>
      </c>
      <c r="I4" s="197">
        <f>Combined!H10</f>
        <v>2525053.1323905606</v>
      </c>
      <c r="J4" s="28"/>
      <c r="K4" s="29"/>
    </row>
    <row r="5" spans="1:11" ht="13.5" thickBot="1">
      <c r="B5" s="195" t="s">
        <v>469</v>
      </c>
      <c r="C5" s="165">
        <f>Combined!B11</f>
        <v>2491374.6587593649</v>
      </c>
      <c r="D5" s="165">
        <f>Combined!C11</f>
        <v>2454934.7158448631</v>
      </c>
      <c r="E5" s="165">
        <f>Combined!D11</f>
        <v>2473483.6744637955</v>
      </c>
      <c r="F5" s="165">
        <f>Combined!E11</f>
        <v>2572276.0881462907</v>
      </c>
      <c r="G5" s="165">
        <f>Combined!F11</f>
        <v>2577950.2565252045</v>
      </c>
      <c r="H5" s="165">
        <f>Combined!G11</f>
        <v>2564082.7580324328</v>
      </c>
      <c r="I5" s="165">
        <f>Combined!H11</f>
        <v>2601360.873841804</v>
      </c>
      <c r="J5" s="28"/>
      <c r="K5" s="29"/>
    </row>
    <row r="6" spans="1:11" ht="13.5" thickBot="1">
      <c r="B6" s="166" t="s">
        <v>470</v>
      </c>
      <c r="C6" s="167">
        <f>Combined!B12</f>
        <v>-9920.618759364821</v>
      </c>
      <c r="D6" s="167">
        <f>Combined!C12</f>
        <v>11539.392955136951</v>
      </c>
      <c r="E6" s="167">
        <f>Combined!D12</f>
        <v>2364.1466322047636</v>
      </c>
      <c r="F6" s="167">
        <f>Combined!E12</f>
        <v>-85723.079327970743</v>
      </c>
      <c r="G6" s="167">
        <f>Combined!F12</f>
        <v>-79706.49686824996</v>
      </c>
      <c r="H6" s="167">
        <f>Combined!G12</f>
        <v>-52981.517688493244</v>
      </c>
      <c r="I6" s="167">
        <f>Combined!H12</f>
        <v>-76307.741451243404</v>
      </c>
      <c r="J6" s="28"/>
      <c r="K6" s="29"/>
    </row>
    <row r="7" spans="1:11" ht="13.5" thickTop="1">
      <c r="B7" s="194" t="s">
        <v>472</v>
      </c>
      <c r="C7" s="197">
        <f>Combined!B5</f>
        <v>0</v>
      </c>
      <c r="D7" s="197">
        <f>Combined!C5</f>
        <v>1252328.7231999999</v>
      </c>
      <c r="E7" s="197">
        <f>Combined!D5</f>
        <v>1781024.786176</v>
      </c>
      <c r="F7" s="197">
        <f>Combined!E5</f>
        <v>1915060.8153737602</v>
      </c>
      <c r="G7" s="197">
        <f>Combined!F5</f>
        <v>2174233.4414608451</v>
      </c>
      <c r="H7" s="197">
        <f>Combined!G5</f>
        <v>2312229.8141044201</v>
      </c>
      <c r="I7" s="197">
        <f>Combined!H5</f>
        <v>2327082.1454618643</v>
      </c>
      <c r="J7" s="28"/>
      <c r="K7" s="29"/>
    </row>
    <row r="8" spans="1:11" ht="13.5" thickBot="1">
      <c r="B8" s="195" t="s">
        <v>473</v>
      </c>
      <c r="C8" s="165">
        <f>Combined!B6</f>
        <v>15745.9</v>
      </c>
      <c r="D8" s="165">
        <f>Combined!C6</f>
        <v>1324448.1186986249</v>
      </c>
      <c r="E8" s="165">
        <f>Combined!D6</f>
        <v>1699782.3793936544</v>
      </c>
      <c r="F8" s="165">
        <f>Combined!E6</f>
        <v>1845775.9388543332</v>
      </c>
      <c r="G8" s="165">
        <f>Combined!F6</f>
        <v>2108593.5856019137</v>
      </c>
      <c r="H8" s="165">
        <f>Combined!G6</f>
        <v>2216548.3861227771</v>
      </c>
      <c r="I8" s="165">
        <f>Combined!H6</f>
        <v>2276941.2047650977</v>
      </c>
      <c r="J8" s="28"/>
      <c r="K8" s="29"/>
    </row>
    <row r="9" spans="1:11" ht="13.5" thickBot="1">
      <c r="B9" s="166" t="s">
        <v>474</v>
      </c>
      <c r="C9" s="167">
        <f>Combined!B7</f>
        <v>-15745.9</v>
      </c>
      <c r="D9" s="167">
        <f>Combined!C7</f>
        <v>-72119.395498625003</v>
      </c>
      <c r="E9" s="167">
        <f>Combined!D7</f>
        <v>81242.406782345613</v>
      </c>
      <c r="F9" s="167">
        <f>Combined!E7</f>
        <v>69284.876519426936</v>
      </c>
      <c r="G9" s="167">
        <f>Combined!F7</f>
        <v>65639.855858931318</v>
      </c>
      <c r="H9" s="167">
        <f>Combined!G7</f>
        <v>95681.427981643006</v>
      </c>
      <c r="I9" s="167">
        <f>Combined!H7</f>
        <v>50140.9406967666</v>
      </c>
      <c r="J9" s="28"/>
      <c r="K9" s="29"/>
    </row>
    <row r="10" spans="1:11" ht="13.5" thickTop="1">
      <c r="B10" s="168" t="s">
        <v>471</v>
      </c>
      <c r="C10" s="169">
        <f>Combined!B28</f>
        <v>635.36344863520935</v>
      </c>
      <c r="D10" s="169">
        <f>Combined!C28</f>
        <v>4088.3836645120755</v>
      </c>
      <c r="E10" s="169">
        <f>Combined!D28</f>
        <v>159558.14362255018</v>
      </c>
      <c r="F10" s="169">
        <f>Combined!E28</f>
        <v>58755.307399456389</v>
      </c>
      <c r="G10" s="169">
        <f>Combined!F28</f>
        <v>71968.6691986816</v>
      </c>
      <c r="H10" s="169">
        <f>Combined!G28</f>
        <v>132388.22050115</v>
      </c>
      <c r="I10" s="169">
        <f>Combined!H28</f>
        <v>63737.509453523904</v>
      </c>
      <c r="J10" s="28"/>
      <c r="K10" s="29"/>
    </row>
    <row r="12" spans="1:11" ht="23.25" thickBot="1">
      <c r="A12" s="34" t="s">
        <v>73</v>
      </c>
      <c r="B12" s="35"/>
      <c r="C12" s="35"/>
      <c r="D12" s="35"/>
      <c r="E12" s="35"/>
      <c r="F12" s="35"/>
      <c r="G12" s="35"/>
      <c r="H12" s="35"/>
      <c r="I12" s="35"/>
    </row>
    <row r="13" spans="1:11" ht="14.25" customHeight="1">
      <c r="B13" s="401" t="s">
        <v>340</v>
      </c>
      <c r="C13" s="401"/>
      <c r="D13" s="401"/>
      <c r="E13" s="401"/>
      <c r="F13" s="401"/>
      <c r="G13" s="401"/>
      <c r="H13" s="401"/>
      <c r="I13" s="401"/>
    </row>
    <row r="14" spans="1:11" ht="14.25" customHeight="1">
      <c r="B14" s="217" t="b">
        <v>1</v>
      </c>
      <c r="C14" s="401" t="s">
        <v>341</v>
      </c>
      <c r="D14" s="401"/>
      <c r="E14" s="401"/>
      <c r="F14" s="401"/>
      <c r="G14" s="401"/>
      <c r="H14" s="401"/>
      <c r="I14" s="401"/>
    </row>
    <row r="15" spans="1:11" ht="14.25" customHeight="1">
      <c r="B15" s="191"/>
      <c r="C15" s="191"/>
      <c r="D15" s="191"/>
      <c r="E15" s="191"/>
      <c r="F15" s="191"/>
      <c r="G15" s="191"/>
      <c r="H15" s="191"/>
      <c r="I15" s="191"/>
    </row>
    <row r="16" spans="1:11">
      <c r="B16" s="401" t="s">
        <v>74</v>
      </c>
      <c r="C16" s="401"/>
      <c r="D16" s="401"/>
      <c r="E16" s="401"/>
      <c r="F16" s="401"/>
      <c r="G16" s="401"/>
      <c r="H16" s="401"/>
      <c r="I16" s="401"/>
    </row>
    <row r="17" spans="2:11">
      <c r="B17" s="193" t="s">
        <v>45</v>
      </c>
      <c r="C17" s="192" t="s">
        <v>22</v>
      </c>
      <c r="D17" s="192" t="s">
        <v>98</v>
      </c>
      <c r="E17" s="192" t="s">
        <v>99</v>
      </c>
      <c r="F17" s="192" t="s">
        <v>100</v>
      </c>
      <c r="G17" s="192" t="s">
        <v>101</v>
      </c>
      <c r="H17" s="192" t="s">
        <v>102</v>
      </c>
      <c r="I17" s="192" t="s">
        <v>103</v>
      </c>
    </row>
    <row r="18" spans="2:11">
      <c r="B18" s="194" t="s">
        <v>75</v>
      </c>
      <c r="C18" s="135">
        <v>411432</v>
      </c>
      <c r="D18" s="135">
        <v>425832</v>
      </c>
      <c r="E18" s="135">
        <v>440736</v>
      </c>
      <c r="F18" s="135">
        <v>456168</v>
      </c>
      <c r="G18" s="135">
        <v>472128</v>
      </c>
      <c r="H18" s="135">
        <v>489372</v>
      </c>
      <c r="I18" s="135">
        <v>505764</v>
      </c>
      <c r="K18" s="29">
        <f>C18+C19</f>
        <v>429587</v>
      </c>
    </row>
    <row r="19" spans="2:11">
      <c r="B19" s="131" t="s">
        <v>333</v>
      </c>
      <c r="C19" s="135">
        <v>18155</v>
      </c>
      <c r="D19" s="135">
        <v>15561</v>
      </c>
      <c r="E19" s="135">
        <v>0</v>
      </c>
      <c r="F19" s="135">
        <v>0</v>
      </c>
      <c r="G19" s="135">
        <v>-42996</v>
      </c>
      <c r="H19" s="135">
        <v>-44004</v>
      </c>
      <c r="I19" s="135">
        <v>-45000</v>
      </c>
    </row>
    <row r="20" spans="2:11">
      <c r="B20" s="131" t="s">
        <v>334</v>
      </c>
      <c r="C20" s="135">
        <v>5596</v>
      </c>
      <c r="D20" s="135">
        <v>0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</row>
    <row r="21" spans="2:11">
      <c r="B21" s="131" t="s">
        <v>76</v>
      </c>
      <c r="C21" s="135">
        <v>37247</v>
      </c>
      <c r="D21" s="135">
        <v>37247</v>
      </c>
      <c r="E21" s="135">
        <v>37247</v>
      </c>
      <c r="F21" s="135">
        <v>37247</v>
      </c>
      <c r="G21" s="135">
        <v>37247</v>
      </c>
      <c r="H21" s="135"/>
      <c r="I21" s="135"/>
    </row>
    <row r="22" spans="2:11">
      <c r="B22" s="131" t="s">
        <v>270</v>
      </c>
      <c r="C22" s="135">
        <v>-34320</v>
      </c>
      <c r="D22" s="135">
        <v>-34320</v>
      </c>
      <c r="E22" s="135">
        <v>-34320</v>
      </c>
      <c r="F22" s="135">
        <v>-34320</v>
      </c>
      <c r="G22" s="135">
        <v>-34320</v>
      </c>
      <c r="H22" s="135">
        <v>-34320</v>
      </c>
      <c r="I22" s="135">
        <v>-34320</v>
      </c>
    </row>
    <row r="23" spans="2:11">
      <c r="B23" s="191"/>
      <c r="C23" s="191"/>
      <c r="D23" s="191"/>
      <c r="E23" s="191"/>
      <c r="F23" s="191"/>
      <c r="G23" s="191"/>
      <c r="H23" s="191"/>
      <c r="I23" s="191"/>
    </row>
    <row r="24" spans="2:11">
      <c r="B24" s="401" t="s">
        <v>335</v>
      </c>
      <c r="C24" s="401"/>
      <c r="D24" s="401"/>
      <c r="E24" s="401"/>
      <c r="F24" s="401"/>
      <c r="G24" s="401"/>
      <c r="H24" s="401"/>
      <c r="I24" s="401"/>
    </row>
    <row r="25" spans="2:11">
      <c r="B25" s="193" t="s">
        <v>45</v>
      </c>
      <c r="C25" s="192" t="s">
        <v>22</v>
      </c>
      <c r="D25" s="192" t="s">
        <v>98</v>
      </c>
      <c r="E25" s="192" t="s">
        <v>99</v>
      </c>
      <c r="F25" s="192" t="s">
        <v>100</v>
      </c>
      <c r="G25" s="192" t="s">
        <v>101</v>
      </c>
      <c r="H25" s="192" t="s">
        <v>102</v>
      </c>
      <c r="I25" s="192" t="s">
        <v>103</v>
      </c>
    </row>
    <row r="26" spans="2:11">
      <c r="B26" s="194" t="s">
        <v>336</v>
      </c>
      <c r="C26" s="135">
        <f>'Purchase Building'!B58</f>
        <v>488320.54399999999</v>
      </c>
      <c r="D26" s="135">
        <f>'Purchase Building'!C58</f>
        <v>488320.54399999999</v>
      </c>
      <c r="E26" s="135">
        <f>'Purchase Building'!D58</f>
        <v>677235.38208381482</v>
      </c>
      <c r="F26" s="135">
        <f>'Purchase Building'!E58</f>
        <v>677235.38208381482</v>
      </c>
      <c r="G26" s="135">
        <f>'Purchase Building'!F58</f>
        <v>677235.38208381482</v>
      </c>
      <c r="H26" s="135">
        <f>'Purchase Building'!G58</f>
        <v>677235.38208381482</v>
      </c>
      <c r="I26" s="135">
        <f>'Purchase Building'!H58</f>
        <v>677235.38208381482</v>
      </c>
    </row>
    <row r="27" spans="2:11">
      <c r="B27" s="194" t="s">
        <v>509</v>
      </c>
      <c r="C27" s="135">
        <f>'Purchase Building'!B52</f>
        <v>35000</v>
      </c>
      <c r="D27" s="135">
        <f>'Purchase Building'!C52</f>
        <v>10000</v>
      </c>
      <c r="E27" s="135">
        <f>'Purchase Building'!D52</f>
        <v>0</v>
      </c>
      <c r="F27" s="135">
        <f>'Purchase Building'!E52</f>
        <v>0</v>
      </c>
      <c r="G27" s="135">
        <f>'Purchase Building'!F52</f>
        <v>0</v>
      </c>
      <c r="H27" s="135">
        <f>'Purchase Building'!G52</f>
        <v>0</v>
      </c>
      <c r="I27" s="135">
        <f>'Purchase Building'!H52</f>
        <v>0</v>
      </c>
    </row>
    <row r="28" spans="2:11">
      <c r="B28" s="131" t="s">
        <v>337</v>
      </c>
      <c r="C28" s="135">
        <f>'Purchase Building'!B55</f>
        <v>0</v>
      </c>
      <c r="D28" s="135">
        <f>'Purchase Building'!C55</f>
        <v>0</v>
      </c>
      <c r="E28" s="135">
        <f>'Purchase Building'!D55</f>
        <v>0</v>
      </c>
      <c r="F28" s="135">
        <f>'Purchase Building'!E55</f>
        <v>0</v>
      </c>
      <c r="G28" s="135">
        <f>'Purchase Building'!F55</f>
        <v>0</v>
      </c>
      <c r="H28" s="135">
        <f>'Purchase Building'!G55</f>
        <v>0</v>
      </c>
      <c r="I28" s="135">
        <f>'Purchase Building'!H55</f>
        <v>0</v>
      </c>
    </row>
    <row r="29" spans="2:11">
      <c r="B29" s="131" t="s">
        <v>76</v>
      </c>
      <c r="C29" s="135">
        <v>37247</v>
      </c>
      <c r="D29" s="135">
        <v>37247</v>
      </c>
      <c r="E29" s="135">
        <v>37247</v>
      </c>
      <c r="F29" s="135">
        <v>37247</v>
      </c>
      <c r="G29" s="135">
        <v>37247</v>
      </c>
      <c r="H29" s="135"/>
      <c r="I29" s="135"/>
    </row>
    <row r="30" spans="2:11">
      <c r="B30" s="191"/>
      <c r="C30" s="191"/>
      <c r="D30" s="191"/>
      <c r="E30" s="191"/>
      <c r="F30" s="191"/>
      <c r="G30" s="191"/>
      <c r="H30" s="191"/>
      <c r="I30" s="191"/>
    </row>
    <row r="31" spans="2:11">
      <c r="B31" s="402" t="s">
        <v>278</v>
      </c>
      <c r="C31" s="401"/>
      <c r="D31" s="401"/>
      <c r="E31" s="401"/>
      <c r="F31" s="401"/>
      <c r="G31" s="401"/>
      <c r="H31" s="401"/>
      <c r="I31" s="401"/>
    </row>
    <row r="32" spans="2:11">
      <c r="B32" s="193" t="s">
        <v>45</v>
      </c>
      <c r="C32" s="192" t="s">
        <v>22</v>
      </c>
      <c r="D32" s="192" t="s">
        <v>98</v>
      </c>
      <c r="E32" s="192" t="s">
        <v>99</v>
      </c>
      <c r="F32" s="192" t="s">
        <v>100</v>
      </c>
      <c r="G32" s="192" t="s">
        <v>101</v>
      </c>
      <c r="H32" s="192" t="s">
        <v>102</v>
      </c>
      <c r="I32" s="192" t="s">
        <v>103</v>
      </c>
    </row>
    <row r="33" spans="2:9">
      <c r="B33" s="194" t="s">
        <v>338</v>
      </c>
      <c r="C33" s="62">
        <v>1.3</v>
      </c>
      <c r="D33" s="62">
        <v>1.33</v>
      </c>
      <c r="E33" s="62">
        <v>1.36</v>
      </c>
      <c r="F33" s="62">
        <v>1.4</v>
      </c>
      <c r="G33" s="62">
        <v>1.43</v>
      </c>
      <c r="H33" s="62">
        <v>1.47</v>
      </c>
      <c r="I33" s="62">
        <v>1.51</v>
      </c>
    </row>
    <row r="34" spans="2:9" ht="14.25" customHeight="1">
      <c r="B34" s="194" t="s">
        <v>343</v>
      </c>
      <c r="C34" s="132"/>
      <c r="D34" s="136">
        <f t="shared" ref="D34:I34" si="0">(D33-C33)/C33</f>
        <v>2.3076923076923096E-2</v>
      </c>
      <c r="E34" s="136">
        <f t="shared" si="0"/>
        <v>2.2556390977443629E-2</v>
      </c>
      <c r="F34" s="136">
        <f t="shared" si="0"/>
        <v>2.9411764705882214E-2</v>
      </c>
      <c r="G34" s="136">
        <f t="shared" si="0"/>
        <v>2.142857142857145E-2</v>
      </c>
      <c r="H34" s="136">
        <f t="shared" si="0"/>
        <v>2.7972027972028E-2</v>
      </c>
      <c r="I34" s="136">
        <f t="shared" si="0"/>
        <v>2.721088435374152E-2</v>
      </c>
    </row>
    <row r="35" spans="2:9">
      <c r="B35" s="194" t="s">
        <v>339</v>
      </c>
      <c r="C35" s="213">
        <v>31817</v>
      </c>
      <c r="D35" s="213">
        <f t="shared" ref="D35:I35" si="1">IF($B$14=TRUE,31817,68000)</f>
        <v>31817</v>
      </c>
      <c r="E35" s="213">
        <f t="shared" si="1"/>
        <v>31817</v>
      </c>
      <c r="F35" s="213">
        <f t="shared" si="1"/>
        <v>31817</v>
      </c>
      <c r="G35" s="213">
        <f t="shared" si="1"/>
        <v>31817</v>
      </c>
      <c r="H35" s="213">
        <f t="shared" si="1"/>
        <v>31817</v>
      </c>
      <c r="I35" s="213">
        <f t="shared" si="1"/>
        <v>31817</v>
      </c>
    </row>
    <row r="36" spans="2:9">
      <c r="B36" s="194" t="s">
        <v>342</v>
      </c>
      <c r="C36" s="213">
        <f>C33*C35</f>
        <v>41362.1</v>
      </c>
      <c r="D36" s="213">
        <f t="shared" ref="D36:I36" si="2">D33*D35</f>
        <v>42316.61</v>
      </c>
      <c r="E36" s="213">
        <f t="shared" si="2"/>
        <v>43271.12</v>
      </c>
      <c r="F36" s="213">
        <f t="shared" si="2"/>
        <v>44543.799999999996</v>
      </c>
      <c r="G36" s="213">
        <f t="shared" si="2"/>
        <v>45498.31</v>
      </c>
      <c r="H36" s="213">
        <f t="shared" si="2"/>
        <v>46770.99</v>
      </c>
      <c r="I36" s="213">
        <f t="shared" si="2"/>
        <v>48043.67</v>
      </c>
    </row>
    <row r="37" spans="2:9" ht="14.25" customHeight="1">
      <c r="B37" s="191"/>
      <c r="C37" s="191"/>
      <c r="D37" s="191"/>
      <c r="E37" s="191"/>
      <c r="F37" s="191"/>
      <c r="G37" s="191"/>
      <c r="H37" s="191"/>
      <c r="I37" s="191"/>
    </row>
    <row r="38" spans="2:9" ht="14.25" customHeight="1">
      <c r="B38" s="402" t="s">
        <v>344</v>
      </c>
      <c r="C38" s="401"/>
      <c r="D38" s="401"/>
      <c r="E38" s="401"/>
      <c r="F38" s="401"/>
      <c r="G38" s="401"/>
      <c r="H38" s="401"/>
      <c r="I38" s="401"/>
    </row>
    <row r="39" spans="2:9" ht="14.25" customHeight="1">
      <c r="B39" s="193" t="s">
        <v>45</v>
      </c>
      <c r="C39" s="192" t="s">
        <v>22</v>
      </c>
      <c r="D39" s="192" t="s">
        <v>98</v>
      </c>
      <c r="E39" s="192" t="s">
        <v>99</v>
      </c>
      <c r="F39" s="192" t="s">
        <v>100</v>
      </c>
      <c r="G39" s="192" t="s">
        <v>101</v>
      </c>
      <c r="H39" s="192" t="s">
        <v>102</v>
      </c>
      <c r="I39" s="192" t="s">
        <v>103</v>
      </c>
    </row>
    <row r="40" spans="2:9" ht="14.25" customHeight="1">
      <c r="B40" s="194" t="s">
        <v>80</v>
      </c>
      <c r="C40" s="62">
        <v>500</v>
      </c>
      <c r="D40" s="62">
        <f t="shared" ref="D40:I40" si="3">C40+(C40*0.01)</f>
        <v>505</v>
      </c>
      <c r="E40" s="62">
        <f t="shared" si="3"/>
        <v>510.05</v>
      </c>
      <c r="F40" s="62">
        <f t="shared" si="3"/>
        <v>515.15049999999997</v>
      </c>
      <c r="G40" s="62">
        <f t="shared" si="3"/>
        <v>520.30200500000001</v>
      </c>
      <c r="H40" s="62">
        <f t="shared" si="3"/>
        <v>525.50502504999997</v>
      </c>
      <c r="I40" s="62">
        <f t="shared" si="3"/>
        <v>530.76007530049992</v>
      </c>
    </row>
    <row r="41" spans="2:9" ht="14.25" customHeight="1">
      <c r="B41" s="194" t="s">
        <v>345</v>
      </c>
      <c r="C41" s="62">
        <v>264</v>
      </c>
      <c r="D41" s="62">
        <f t="shared" ref="D41:I41" si="4">C41+(C41*0.01)</f>
        <v>266.64</v>
      </c>
      <c r="E41" s="62">
        <f t="shared" si="4"/>
        <v>269.3064</v>
      </c>
      <c r="F41" s="62">
        <f t="shared" si="4"/>
        <v>271.99946399999999</v>
      </c>
      <c r="G41" s="62">
        <f t="shared" si="4"/>
        <v>274.71945863999997</v>
      </c>
      <c r="H41" s="62">
        <f t="shared" si="4"/>
        <v>277.46665322639996</v>
      </c>
      <c r="I41" s="62">
        <f t="shared" si="4"/>
        <v>280.24131975866396</v>
      </c>
    </row>
    <row r="42" spans="2:9" ht="14.25" customHeight="1">
      <c r="B42" s="194" t="s">
        <v>81</v>
      </c>
      <c r="C42" s="62">
        <v>1000</v>
      </c>
      <c r="D42" s="62">
        <f t="shared" ref="D42:I42" si="5">C42+(C42*0.01)</f>
        <v>1010</v>
      </c>
      <c r="E42" s="62">
        <f t="shared" si="5"/>
        <v>1020.1</v>
      </c>
      <c r="F42" s="62">
        <f t="shared" si="5"/>
        <v>1030.3009999999999</v>
      </c>
      <c r="G42" s="62">
        <f t="shared" si="5"/>
        <v>1040.60401</v>
      </c>
      <c r="H42" s="62">
        <f t="shared" si="5"/>
        <v>1051.0100500999999</v>
      </c>
      <c r="I42" s="62">
        <f t="shared" si="5"/>
        <v>1061.5201506009998</v>
      </c>
    </row>
    <row r="43" spans="2:9" ht="14.25" customHeight="1">
      <c r="B43" s="194" t="s">
        <v>82</v>
      </c>
      <c r="C43" s="62">
        <v>2500</v>
      </c>
      <c r="D43" s="62">
        <f t="shared" ref="D43:I43" si="6">C43+(C43*0.01)</f>
        <v>2525</v>
      </c>
      <c r="E43" s="62">
        <f t="shared" si="6"/>
        <v>2550.25</v>
      </c>
      <c r="F43" s="62">
        <f t="shared" si="6"/>
        <v>2575.7525000000001</v>
      </c>
      <c r="G43" s="62">
        <f t="shared" si="6"/>
        <v>2601.510025</v>
      </c>
      <c r="H43" s="62">
        <f t="shared" si="6"/>
        <v>2627.5251252500002</v>
      </c>
      <c r="I43" s="62">
        <f t="shared" si="6"/>
        <v>2653.8003765025001</v>
      </c>
    </row>
    <row r="44" spans="2:9" ht="14.25" customHeight="1">
      <c r="B44" s="194" t="s">
        <v>346</v>
      </c>
      <c r="C44" s="62">
        <v>7500</v>
      </c>
      <c r="D44" s="62">
        <f t="shared" ref="D44:I44" si="7">C44+(C44*0.01)</f>
        <v>7575</v>
      </c>
      <c r="E44" s="62">
        <f t="shared" si="7"/>
        <v>7650.75</v>
      </c>
      <c r="F44" s="62">
        <f t="shared" si="7"/>
        <v>7727.2574999999997</v>
      </c>
      <c r="G44" s="62">
        <f t="shared" si="7"/>
        <v>7804.5300749999997</v>
      </c>
      <c r="H44" s="62">
        <f t="shared" si="7"/>
        <v>7882.5753757499997</v>
      </c>
      <c r="I44" s="62">
        <f t="shared" si="7"/>
        <v>7961.4011295074997</v>
      </c>
    </row>
    <row r="45" spans="2:9" ht="14.25" customHeight="1">
      <c r="B45" s="194" t="s">
        <v>347</v>
      </c>
      <c r="C45" s="62">
        <v>5000</v>
      </c>
      <c r="D45" s="62">
        <f t="shared" ref="D45:I45" si="8">C45+(C45*0.01)</f>
        <v>5050</v>
      </c>
      <c r="E45" s="62">
        <f t="shared" si="8"/>
        <v>5100.5</v>
      </c>
      <c r="F45" s="62">
        <f t="shared" si="8"/>
        <v>5151.5050000000001</v>
      </c>
      <c r="G45" s="62">
        <f t="shared" si="8"/>
        <v>5203.0200500000001</v>
      </c>
      <c r="H45" s="62">
        <f t="shared" si="8"/>
        <v>5255.0502505000004</v>
      </c>
      <c r="I45" s="62">
        <f t="shared" si="8"/>
        <v>5307.6007530050001</v>
      </c>
    </row>
    <row r="46" spans="2:9" ht="14.25" customHeight="1">
      <c r="B46" s="194" t="s">
        <v>348</v>
      </c>
      <c r="C46" s="62">
        <v>2250</v>
      </c>
      <c r="D46" s="62">
        <f t="shared" ref="D46:I47" si="9">C46+(C46*0.01)</f>
        <v>2272.5</v>
      </c>
      <c r="E46" s="62">
        <f t="shared" si="9"/>
        <v>2295.2249999999999</v>
      </c>
      <c r="F46" s="62">
        <f t="shared" si="9"/>
        <v>2318.1772499999997</v>
      </c>
      <c r="G46" s="62">
        <f t="shared" si="9"/>
        <v>2341.3590224999998</v>
      </c>
      <c r="H46" s="62">
        <f t="shared" si="9"/>
        <v>2364.7726127249998</v>
      </c>
      <c r="I46" s="62">
        <f t="shared" si="9"/>
        <v>2388.4203388522496</v>
      </c>
    </row>
    <row r="47" spans="2:9">
      <c r="B47" s="194" t="s">
        <v>349</v>
      </c>
      <c r="C47" s="62">
        <v>14000</v>
      </c>
      <c r="D47" s="62">
        <f t="shared" si="9"/>
        <v>14140</v>
      </c>
      <c r="E47" s="62">
        <f t="shared" si="9"/>
        <v>14281.4</v>
      </c>
      <c r="F47" s="62">
        <f t="shared" si="9"/>
        <v>14424.214</v>
      </c>
      <c r="G47" s="62">
        <f t="shared" si="9"/>
        <v>14568.45614</v>
      </c>
      <c r="H47" s="62">
        <f t="shared" si="9"/>
        <v>14714.1407014</v>
      </c>
      <c r="I47" s="62">
        <f t="shared" si="9"/>
        <v>14861.282108414</v>
      </c>
    </row>
    <row r="48" spans="2:9" s="39" customFormat="1">
      <c r="B48" s="194" t="s">
        <v>85</v>
      </c>
      <c r="C48" s="62">
        <v>869</v>
      </c>
      <c r="D48" s="62">
        <f t="shared" ref="D48:I48" si="10">IF($B$14,0,C48+(C48*0.01))</f>
        <v>0</v>
      </c>
      <c r="E48" s="62">
        <f t="shared" si="10"/>
        <v>0</v>
      </c>
      <c r="F48" s="62">
        <f t="shared" si="10"/>
        <v>0</v>
      </c>
      <c r="G48" s="62">
        <f t="shared" si="10"/>
        <v>0</v>
      </c>
      <c r="H48" s="62">
        <f t="shared" si="10"/>
        <v>0</v>
      </c>
      <c r="I48" s="62">
        <f t="shared" si="10"/>
        <v>0</v>
      </c>
    </row>
    <row r="49" spans="1:11">
      <c r="K49" s="183">
        <f>'Purchase Building'!C21</f>
        <v>0.40934065934065933</v>
      </c>
    </row>
    <row r="50" spans="1:11" ht="14.25" customHeight="1">
      <c r="B50" s="402" t="s">
        <v>365</v>
      </c>
      <c r="C50" s="401"/>
      <c r="D50" s="401"/>
      <c r="E50" s="401"/>
      <c r="F50" s="401"/>
      <c r="G50" s="401"/>
      <c r="H50" s="401"/>
      <c r="I50" s="401"/>
      <c r="K50" s="399" t="s">
        <v>516</v>
      </c>
    </row>
    <row r="51" spans="1:11" ht="14.25" customHeight="1">
      <c r="B51" s="193" t="s">
        <v>45</v>
      </c>
      <c r="C51" s="192" t="s">
        <v>22</v>
      </c>
      <c r="D51" s="192" t="s">
        <v>98</v>
      </c>
      <c r="E51" s="192" t="s">
        <v>99</v>
      </c>
      <c r="F51" s="192" t="s">
        <v>100</v>
      </c>
      <c r="G51" s="192" t="s">
        <v>101</v>
      </c>
      <c r="H51" s="192" t="s">
        <v>102</v>
      </c>
      <c r="I51" s="192" t="s">
        <v>103</v>
      </c>
      <c r="K51" s="399"/>
    </row>
    <row r="52" spans="1:11" ht="14.25" customHeight="1">
      <c r="B52" s="194" t="s">
        <v>366</v>
      </c>
      <c r="C52" s="62">
        <f>IF($B$14,C44,0)</f>
        <v>7500</v>
      </c>
      <c r="D52" s="62">
        <f>+C52+(C52*0.01)</f>
        <v>7575</v>
      </c>
      <c r="E52" s="62">
        <f t="shared" ref="E52:I52" si="11">+D52+(D52*0.01)</f>
        <v>7650.75</v>
      </c>
      <c r="F52" s="62">
        <f t="shared" si="11"/>
        <v>7727.2574999999997</v>
      </c>
      <c r="G52" s="62">
        <f t="shared" si="11"/>
        <v>7804.5300749999997</v>
      </c>
      <c r="H52" s="62">
        <f t="shared" si="11"/>
        <v>7882.5753757499997</v>
      </c>
      <c r="I52" s="62">
        <f t="shared" si="11"/>
        <v>7961.4011295074997</v>
      </c>
      <c r="K52" s="184">
        <f>C52*$K$49</f>
        <v>3070.0549450549452</v>
      </c>
    </row>
    <row r="53" spans="1:11" ht="14.25" customHeight="1">
      <c r="B53" s="194" t="s">
        <v>367</v>
      </c>
      <c r="C53" s="62">
        <f>IF($B$14,10605,0)</f>
        <v>10605</v>
      </c>
      <c r="D53" s="62">
        <f t="shared" ref="D53:I55" si="12">+C53+(C53*0.01)</f>
        <v>10711.05</v>
      </c>
      <c r="E53" s="62">
        <f t="shared" si="12"/>
        <v>10818.1605</v>
      </c>
      <c r="F53" s="62">
        <f t="shared" si="12"/>
        <v>10926.342105</v>
      </c>
      <c r="G53" s="62">
        <f t="shared" si="12"/>
        <v>11035.60552605</v>
      </c>
      <c r="H53" s="62">
        <f t="shared" si="12"/>
        <v>11145.961581310499</v>
      </c>
      <c r="I53" s="62">
        <f t="shared" si="12"/>
        <v>11257.421197123604</v>
      </c>
      <c r="K53" s="184">
        <f>C53*$K$49</f>
        <v>4341.0576923076924</v>
      </c>
    </row>
    <row r="54" spans="1:11" ht="14.25" customHeight="1">
      <c r="B54" s="194" t="s">
        <v>70</v>
      </c>
      <c r="C54" s="62">
        <f>IF($B$14,10107,0)</f>
        <v>10107</v>
      </c>
      <c r="D54" s="62">
        <f t="shared" si="12"/>
        <v>10208.07</v>
      </c>
      <c r="E54" s="62">
        <f t="shared" si="12"/>
        <v>10310.1507</v>
      </c>
      <c r="F54" s="62">
        <f t="shared" si="12"/>
        <v>10413.252207</v>
      </c>
      <c r="G54" s="62">
        <f t="shared" si="12"/>
        <v>10517.38472907</v>
      </c>
      <c r="H54" s="62">
        <f t="shared" si="12"/>
        <v>10622.5585763607</v>
      </c>
      <c r="I54" s="62">
        <f t="shared" si="12"/>
        <v>10728.784162124306</v>
      </c>
      <c r="K54" s="184">
        <f>C54*$K$49</f>
        <v>4137.2060439560437</v>
      </c>
    </row>
    <row r="55" spans="1:11" ht="14.25" customHeight="1">
      <c r="B55" s="194" t="s">
        <v>368</v>
      </c>
      <c r="C55" s="62">
        <f>IF($B$14,17000,0)</f>
        <v>17000</v>
      </c>
      <c r="D55" s="62">
        <f t="shared" si="12"/>
        <v>17170</v>
      </c>
      <c r="E55" s="62">
        <f t="shared" si="12"/>
        <v>17341.7</v>
      </c>
      <c r="F55" s="62">
        <f t="shared" si="12"/>
        <v>17515.117000000002</v>
      </c>
      <c r="G55" s="62">
        <f t="shared" si="12"/>
        <v>17690.268170000003</v>
      </c>
      <c r="H55" s="62">
        <f t="shared" si="12"/>
        <v>17867.170851700004</v>
      </c>
      <c r="I55" s="62">
        <f t="shared" si="12"/>
        <v>18045.842560217003</v>
      </c>
      <c r="K55" s="184">
        <f>C55*$K$49</f>
        <v>6958.7912087912082</v>
      </c>
    </row>
    <row r="57" spans="1:11" ht="23.25" thickBot="1">
      <c r="A57" s="34" t="s">
        <v>350</v>
      </c>
      <c r="B57" s="35"/>
      <c r="C57" s="35"/>
      <c r="D57" s="35"/>
      <c r="E57" s="35"/>
      <c r="F57" s="35"/>
      <c r="G57" s="35"/>
      <c r="H57" s="35"/>
      <c r="I57" s="35"/>
    </row>
    <row r="59" spans="1:11">
      <c r="A59" s="400" t="s">
        <v>351</v>
      </c>
      <c r="B59" s="400"/>
      <c r="C59" s="58">
        <v>15.36</v>
      </c>
      <c r="D59" s="58">
        <f>C59+((('Salary Schedules'!F$97-'Salary Schedules'!E$97)/'Salary Schedules'!E$97)*C59)</f>
        <v>15.612589981212134</v>
      </c>
      <c r="E59" s="58">
        <f>D59+((('Salary Schedules'!G$97-'Salary Schedules'!F$97)/'Salary Schedules'!F$97)*D59)</f>
        <v>15.945773856015986</v>
      </c>
      <c r="F59" s="58">
        <f>E59+((('Salary Schedules'!H$97-'Salary Schedules'!G$97)/'Salary Schedules'!G$97)*E59)</f>
        <v>16.265223983731254</v>
      </c>
      <c r="G59" s="58">
        <f>F59+((('Salary Schedules'!I$97-'Salary Schedules'!H$97)/'Salary Schedules'!H$97)*F59)</f>
        <v>16.606369973190347</v>
      </c>
      <c r="H59" s="58">
        <f>G59+((('Salary Schedules'!J$97-'Salary Schedules'!I$97)/'Salary Schedules'!I$97)*G59)</f>
        <v>16.961235298670772</v>
      </c>
      <c r="I59" s="58">
        <f>H59+((('Salary Schedules'!K$97-'Salary Schedules'!J$97)/'Salary Schedules'!J$97)*H59)</f>
        <v>17.299477458079132</v>
      </c>
    </row>
    <row r="60" spans="1:11">
      <c r="A60" s="400" t="s">
        <v>352</v>
      </c>
      <c r="B60" s="400"/>
      <c r="C60" s="83">
        <v>45</v>
      </c>
      <c r="D60" s="83">
        <v>45</v>
      </c>
      <c r="E60" s="83">
        <v>45</v>
      </c>
      <c r="F60" s="83">
        <v>45</v>
      </c>
      <c r="G60" s="83">
        <v>45</v>
      </c>
      <c r="H60" s="83">
        <v>45</v>
      </c>
      <c r="I60" s="83">
        <v>45</v>
      </c>
    </row>
    <row r="61" spans="1:11">
      <c r="A61" s="400" t="s">
        <v>353</v>
      </c>
      <c r="B61" s="400"/>
      <c r="C61" s="83">
        <v>25</v>
      </c>
      <c r="D61" s="83">
        <v>25</v>
      </c>
      <c r="E61" s="83">
        <v>25</v>
      </c>
      <c r="F61" s="83">
        <v>25</v>
      </c>
      <c r="G61" s="83">
        <v>25</v>
      </c>
      <c r="H61" s="83">
        <v>25</v>
      </c>
      <c r="I61" s="83">
        <v>25</v>
      </c>
    </row>
    <row r="62" spans="1:11">
      <c r="B62" s="137" t="s">
        <v>354</v>
      </c>
      <c r="C62" s="138">
        <f>(IF(C60&gt;40,(40*C59)+((C60-40)*(1.5*C59)),C60*C59)*44)+(IF(C61&gt;40,(40*C59)+((C61-40)*(1.5*C59)),C61*C59)*(9))</f>
        <v>35558.399999999994</v>
      </c>
      <c r="D62" s="138">
        <f t="shared" ref="D62:I62" si="13">(IF(D60&gt;40,(40*D59)+((D60-40)*(1.5*D59)),D60*D59)*44)+(IF(D61&gt;40,(40*D59)+((D61-40)*(1.5*D59)),D61*D59)*(9))</f>
        <v>36143.145806506087</v>
      </c>
      <c r="E62" s="138">
        <f t="shared" si="13"/>
        <v>36914.466476677007</v>
      </c>
      <c r="F62" s="138">
        <f t="shared" si="13"/>
        <v>37653.993522337856</v>
      </c>
      <c r="G62" s="138">
        <f t="shared" si="13"/>
        <v>38443.746487935648</v>
      </c>
      <c r="H62" s="138">
        <f t="shared" si="13"/>
        <v>39265.259716422843</v>
      </c>
      <c r="I62" s="138">
        <f t="shared" si="13"/>
        <v>40048.290315453189</v>
      </c>
    </row>
    <row r="64" spans="1:11">
      <c r="A64" s="400" t="s">
        <v>355</v>
      </c>
      <c r="B64" s="400"/>
      <c r="C64" s="58">
        <v>8.89</v>
      </c>
      <c r="D64" s="58">
        <f>C64+((('Salary Schedules'!F$97-'Salary Schedules'!E$97)/'Salary Schedules'!E$97)*C64)</f>
        <v>9.036193029490617</v>
      </c>
      <c r="E64" s="58">
        <f>D64+((('Salary Schedules'!G$97-'Salary Schedules'!F$97)/'Salary Schedules'!F$97)*D64)</f>
        <v>9.2290318736967532</v>
      </c>
      <c r="F64" s="58">
        <f>E64+((('Salary Schedules'!H$97-'Salary Schedules'!G$97)/'Salary Schedules'!G$97)*E64)</f>
        <v>9.4139219541257066</v>
      </c>
      <c r="G64" s="58">
        <f>F64+((('Salary Schedules'!I$97-'Salary Schedules'!H$97)/'Salary Schedules'!H$97)*F64)</f>
        <v>9.6113690795352991</v>
      </c>
      <c r="H64" s="58">
        <f>G64+((('Salary Schedules'!J$97-'Salary Schedules'!I$97)/'Salary Schedules'!I$97)*G64)</f>
        <v>9.8167566279416132</v>
      </c>
      <c r="I64" s="58">
        <f>H64+((('Salary Schedules'!K$97-'Salary Schedules'!J$97)/'Salary Schedules'!J$97)*H64)</f>
        <v>10.01252308608877</v>
      </c>
    </row>
    <row r="65" spans="1:9">
      <c r="A65" s="400" t="s">
        <v>352</v>
      </c>
      <c r="B65" s="400"/>
      <c r="C65" s="83">
        <v>20</v>
      </c>
      <c r="D65" s="83">
        <v>20</v>
      </c>
      <c r="E65" s="83">
        <v>20</v>
      </c>
      <c r="F65" s="83">
        <v>20</v>
      </c>
      <c r="G65" s="83">
        <v>20</v>
      </c>
      <c r="H65" s="83">
        <v>20</v>
      </c>
      <c r="I65" s="83">
        <v>20</v>
      </c>
    </row>
    <row r="66" spans="1:9">
      <c r="A66" s="400" t="s">
        <v>353</v>
      </c>
      <c r="B66" s="400"/>
      <c r="C66" s="83">
        <v>5</v>
      </c>
      <c r="D66" s="83">
        <v>5</v>
      </c>
      <c r="E66" s="83">
        <v>5</v>
      </c>
      <c r="F66" s="83">
        <v>5</v>
      </c>
      <c r="G66" s="83">
        <v>5</v>
      </c>
      <c r="H66" s="83">
        <v>5</v>
      </c>
      <c r="I66" s="83">
        <v>5</v>
      </c>
    </row>
    <row r="67" spans="1:9">
      <c r="B67" s="137" t="s">
        <v>354</v>
      </c>
      <c r="C67" s="138">
        <f t="shared" ref="C67:I67" si="14">(IF(C65&gt;40,(40*C64)+((C65-40)*(1.5*C64)),C65*C64)*44)+(IF(C66&gt;40,(40*C64)+((C66-40)*(1.5*C64)),C66*C64)*(9))</f>
        <v>8223.25</v>
      </c>
      <c r="D67" s="138">
        <f t="shared" si="14"/>
        <v>8358.4785522788206</v>
      </c>
      <c r="E67" s="138">
        <f t="shared" si="14"/>
        <v>8536.8544831694962</v>
      </c>
      <c r="F67" s="138">
        <f t="shared" si="14"/>
        <v>8707.8778075662776</v>
      </c>
      <c r="G67" s="138">
        <f t="shared" si="14"/>
        <v>8890.5163985701529</v>
      </c>
      <c r="H67" s="138">
        <f t="shared" si="14"/>
        <v>9080.4998808459932</v>
      </c>
      <c r="I67" s="138">
        <f t="shared" si="14"/>
        <v>9261.583854632112</v>
      </c>
    </row>
    <row r="69" spans="1:9">
      <c r="A69" s="400" t="s">
        <v>356</v>
      </c>
      <c r="B69" s="400"/>
      <c r="C69" s="58">
        <v>8.5</v>
      </c>
      <c r="D69" s="58">
        <f>C69+((('Salary Schedules'!F$97-'Salary Schedules'!E$97)/'Salary Schedules'!E$97)*C69)</f>
        <v>8.6397796119989021</v>
      </c>
      <c r="E69" s="58">
        <f>D69+((('Salary Schedules'!G$97-'Salary Schedules'!F$97)/'Salary Schedules'!F$97)*D69)</f>
        <v>8.8241587093838465</v>
      </c>
      <c r="F69" s="58">
        <f>E69+((('Salary Schedules'!H$97-'Salary Schedules'!G$97)/'Salary Schedules'!G$97)*E69)</f>
        <v>9.0009377514137796</v>
      </c>
      <c r="G69" s="58">
        <f>F69+((('Salary Schedules'!I$97-'Salary Schedules'!H$97)/'Salary Schedules'!H$97)*F69)</f>
        <v>9.1897229669347631</v>
      </c>
      <c r="H69" s="58">
        <f>G69+((('Salary Schedules'!J$97-'Salary Schedules'!I$97)/'Salary Schedules'!I$97)*G69)</f>
        <v>9.3861002629363011</v>
      </c>
      <c r="I69" s="58">
        <f>H69+((('Salary Schedules'!K$97-'Salary Schedules'!J$97)/'Salary Schedules'!J$97)*H69)</f>
        <v>9.5732785412547301</v>
      </c>
    </row>
    <row r="70" spans="1:9">
      <c r="A70" s="400" t="s">
        <v>352</v>
      </c>
      <c r="B70" s="400"/>
      <c r="C70" s="83">
        <v>0</v>
      </c>
      <c r="D70" s="83">
        <f t="shared" ref="D70:I70" si="15">IF($B$14,42,0)</f>
        <v>42</v>
      </c>
      <c r="E70" s="83">
        <f t="shared" si="15"/>
        <v>42</v>
      </c>
      <c r="F70" s="83">
        <f t="shared" si="15"/>
        <v>42</v>
      </c>
      <c r="G70" s="83">
        <f t="shared" si="15"/>
        <v>42</v>
      </c>
      <c r="H70" s="83">
        <f t="shared" si="15"/>
        <v>42</v>
      </c>
      <c r="I70" s="83">
        <f t="shared" si="15"/>
        <v>42</v>
      </c>
    </row>
    <row r="71" spans="1:9">
      <c r="A71" s="400" t="s">
        <v>353</v>
      </c>
      <c r="B71" s="400"/>
      <c r="C71" s="83">
        <v>0</v>
      </c>
      <c r="D71" s="83">
        <f t="shared" ref="D71:I71" si="16">IF($B$14,20,0)</f>
        <v>20</v>
      </c>
      <c r="E71" s="83">
        <f t="shared" si="16"/>
        <v>20</v>
      </c>
      <c r="F71" s="83">
        <f t="shared" si="16"/>
        <v>20</v>
      </c>
      <c r="G71" s="83">
        <f t="shared" si="16"/>
        <v>20</v>
      </c>
      <c r="H71" s="83">
        <f t="shared" si="16"/>
        <v>20</v>
      </c>
      <c r="I71" s="83">
        <f t="shared" si="16"/>
        <v>20</v>
      </c>
    </row>
    <row r="72" spans="1:9">
      <c r="B72" s="137" t="s">
        <v>354</v>
      </c>
      <c r="C72" s="138">
        <f t="shared" ref="C72:I72" si="17">(IF(C70&gt;40,(40*C69)+((C70-40)*(1.5*C69)),C70*C69)*44)+(IF(C71&gt;40,(40*C69)+((C71-40)*(1.5*C69)),C71*C69)*(9))</f>
        <v>0</v>
      </c>
      <c r="D72" s="138">
        <f t="shared" si="17"/>
        <v>17901.623356061726</v>
      </c>
      <c r="E72" s="138">
        <f t="shared" si="17"/>
        <v>18283.656845843328</v>
      </c>
      <c r="F72" s="138">
        <f t="shared" si="17"/>
        <v>18649.943020929353</v>
      </c>
      <c r="G72" s="138">
        <f t="shared" si="17"/>
        <v>19041.105987488831</v>
      </c>
      <c r="H72" s="138">
        <f t="shared" si="17"/>
        <v>19447.999744804019</v>
      </c>
      <c r="I72" s="138">
        <f t="shared" si="17"/>
        <v>19835.833137479804</v>
      </c>
    </row>
    <row r="74" spans="1:9">
      <c r="A74" s="400" t="s">
        <v>357</v>
      </c>
      <c r="B74" s="400"/>
      <c r="C74" s="58">
        <v>8.5</v>
      </c>
      <c r="D74" s="58">
        <f>C74+((('Salary Schedules'!F$97-'Salary Schedules'!E$97)/'Salary Schedules'!E$97)*C74)</f>
        <v>8.6397796119989021</v>
      </c>
      <c r="E74" s="58">
        <f>D74+((('Salary Schedules'!G$97-'Salary Schedules'!F$97)/'Salary Schedules'!F$97)*D74)</f>
        <v>8.8241587093838465</v>
      </c>
      <c r="F74" s="58">
        <f>E74+((('Salary Schedules'!H$97-'Salary Schedules'!G$97)/'Salary Schedules'!G$97)*E74)</f>
        <v>9.0009377514137796</v>
      </c>
      <c r="G74" s="58">
        <f>F74+((('Salary Schedules'!I$97-'Salary Schedules'!H$97)/'Salary Schedules'!H$97)*F74)</f>
        <v>9.1897229669347631</v>
      </c>
      <c r="H74" s="58">
        <f>G74+((('Salary Schedules'!J$97-'Salary Schedules'!I$97)/'Salary Schedules'!I$97)*G74)</f>
        <v>9.3861002629363011</v>
      </c>
      <c r="I74" s="58">
        <f>H74+((('Salary Schedules'!K$97-'Salary Schedules'!J$97)/'Salary Schedules'!J$97)*H74)</f>
        <v>9.5732785412547301</v>
      </c>
    </row>
    <row r="75" spans="1:9">
      <c r="A75" s="400" t="s">
        <v>352</v>
      </c>
      <c r="B75" s="400"/>
      <c r="C75" s="83">
        <v>0</v>
      </c>
      <c r="D75" s="83">
        <f t="shared" ref="D75:I75" si="18">IF($B$14,20,0)</f>
        <v>20</v>
      </c>
      <c r="E75" s="83">
        <f t="shared" si="18"/>
        <v>20</v>
      </c>
      <c r="F75" s="83">
        <f t="shared" si="18"/>
        <v>20</v>
      </c>
      <c r="G75" s="83">
        <f t="shared" si="18"/>
        <v>20</v>
      </c>
      <c r="H75" s="83">
        <f t="shared" si="18"/>
        <v>20</v>
      </c>
      <c r="I75" s="83">
        <f t="shared" si="18"/>
        <v>20</v>
      </c>
    </row>
    <row r="76" spans="1:9">
      <c r="A76" s="400" t="s">
        <v>353</v>
      </c>
      <c r="B76" s="400"/>
      <c r="C76" s="83">
        <v>0</v>
      </c>
      <c r="D76" s="83">
        <f t="shared" ref="D76:I76" si="19">IF($B$14,5,0)</f>
        <v>5</v>
      </c>
      <c r="E76" s="83">
        <f t="shared" si="19"/>
        <v>5</v>
      </c>
      <c r="F76" s="83">
        <f t="shared" si="19"/>
        <v>5</v>
      </c>
      <c r="G76" s="83">
        <f t="shared" si="19"/>
        <v>5</v>
      </c>
      <c r="H76" s="83">
        <f t="shared" si="19"/>
        <v>5</v>
      </c>
      <c r="I76" s="83">
        <f t="shared" si="19"/>
        <v>5</v>
      </c>
    </row>
    <row r="77" spans="1:9">
      <c r="B77" s="137" t="s">
        <v>354</v>
      </c>
      <c r="C77" s="138">
        <f t="shared" ref="C77:I77" si="20">(IF(C75&gt;40,(40*C74)+((C75-40)*(1.5*C74)),C75*C74)*44)+(IF(C76&gt;40,(40*C74)+((C76-40)*(1.5*C74)),C76*C74)*(9))</f>
        <v>0</v>
      </c>
      <c r="D77" s="138">
        <f t="shared" si="20"/>
        <v>7991.7961410989847</v>
      </c>
      <c r="E77" s="138">
        <f t="shared" si="20"/>
        <v>8162.3468061800577</v>
      </c>
      <c r="F77" s="138">
        <f t="shared" si="20"/>
        <v>8325.8674200577461</v>
      </c>
      <c r="G77" s="138">
        <f t="shared" si="20"/>
        <v>8500.4937444146562</v>
      </c>
      <c r="H77" s="138">
        <f t="shared" si="20"/>
        <v>8682.1427432160781</v>
      </c>
      <c r="I77" s="138">
        <f t="shared" si="20"/>
        <v>8855.2826506606252</v>
      </c>
    </row>
    <row r="79" spans="1:9">
      <c r="A79" s="400" t="s">
        <v>358</v>
      </c>
      <c r="B79" s="400"/>
      <c r="C79" s="58">
        <v>8.5</v>
      </c>
      <c r="D79" s="58">
        <f>C79+((('Salary Schedules'!F$97-'Salary Schedules'!E$97)/'Salary Schedules'!E$97)*C79)</f>
        <v>8.6397796119989021</v>
      </c>
      <c r="E79" s="58">
        <f>D79+((('Salary Schedules'!G$97-'Salary Schedules'!F$97)/'Salary Schedules'!F$97)*D79)</f>
        <v>8.8241587093838465</v>
      </c>
      <c r="F79" s="58">
        <f>E79+((('Salary Schedules'!H$97-'Salary Schedules'!G$97)/'Salary Schedules'!G$97)*E79)</f>
        <v>9.0009377514137796</v>
      </c>
      <c r="G79" s="58">
        <f>F79+((('Salary Schedules'!I$97-'Salary Schedules'!H$97)/'Salary Schedules'!H$97)*F79)</f>
        <v>9.1897229669347631</v>
      </c>
      <c r="H79" s="58">
        <f>G79+((('Salary Schedules'!J$97-'Salary Schedules'!I$97)/'Salary Schedules'!I$97)*G79)</f>
        <v>9.3861002629363011</v>
      </c>
      <c r="I79" s="58">
        <f>H79+((('Salary Schedules'!K$97-'Salary Schedules'!J$97)/'Salary Schedules'!J$97)*H79)</f>
        <v>9.5732785412547301</v>
      </c>
    </row>
    <row r="80" spans="1:9">
      <c r="A80" s="400" t="s">
        <v>352</v>
      </c>
      <c r="B80" s="400"/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</row>
    <row r="81" spans="1:18">
      <c r="A81" s="400" t="s">
        <v>353</v>
      </c>
      <c r="B81" s="400"/>
      <c r="C81" s="83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83">
        <v>0</v>
      </c>
    </row>
    <row r="82" spans="1:18">
      <c r="B82" s="137" t="s">
        <v>354</v>
      </c>
      <c r="C82" s="138">
        <f t="shared" ref="C82:I82" si="21">(IF(C80&gt;40,(40*C79)+((C80-40)*(1.5*C79)),C80*C79)*44)+(IF(C81&gt;40,(40*C79)+((C81-40)*(1.5*C79)),C81*C79)*(9))</f>
        <v>0</v>
      </c>
      <c r="D82" s="138">
        <f t="shared" si="21"/>
        <v>0</v>
      </c>
      <c r="E82" s="138">
        <f t="shared" si="21"/>
        <v>0</v>
      </c>
      <c r="F82" s="138">
        <f t="shared" si="21"/>
        <v>0</v>
      </c>
      <c r="G82" s="138">
        <f t="shared" si="21"/>
        <v>0</v>
      </c>
      <c r="H82" s="138">
        <f t="shared" si="21"/>
        <v>0</v>
      </c>
      <c r="I82" s="138">
        <f t="shared" si="21"/>
        <v>0</v>
      </c>
    </row>
    <row r="87" spans="1:18">
      <c r="A87" s="72" t="s">
        <v>282</v>
      </c>
      <c r="J87" s="44"/>
      <c r="M87" s="45"/>
      <c r="N87" s="46"/>
      <c r="O87" s="45"/>
      <c r="P87" s="45"/>
      <c r="Q87" s="45"/>
      <c r="R87" s="45"/>
    </row>
    <row r="88" spans="1:18" ht="15">
      <c r="A88" s="46"/>
      <c r="B88" s="142" t="s">
        <v>359</v>
      </c>
      <c r="C88" s="49">
        <f>SUM(C82,C77,C72,C67,C62)</f>
        <v>43781.649999999994</v>
      </c>
      <c r="D88" s="32">
        <f t="shared" ref="D88:I88" si="22">SUM(D82,D77,D72,D67,D62)</f>
        <v>70395.043855945609</v>
      </c>
      <c r="E88" s="32">
        <f t="shared" si="22"/>
        <v>71897.324611869888</v>
      </c>
      <c r="F88" s="32">
        <f t="shared" si="22"/>
        <v>73337.681770891242</v>
      </c>
      <c r="G88" s="32">
        <f t="shared" si="22"/>
        <v>74875.862618409286</v>
      </c>
      <c r="H88" s="32">
        <f t="shared" si="22"/>
        <v>76475.902085288923</v>
      </c>
      <c r="I88" s="32">
        <f t="shared" si="22"/>
        <v>78000.98995822572</v>
      </c>
      <c r="K88" s="33"/>
    </row>
    <row r="89" spans="1:18" ht="15">
      <c r="A89" s="46"/>
      <c r="B89" s="142" t="s">
        <v>175</v>
      </c>
      <c r="C89" s="139">
        <f>SharedStaff!C71*SUM(C82,C77,C72,C67,C62)</f>
        <v>3349.2962249999996</v>
      </c>
      <c r="D89" s="79">
        <f>SharedStaff!D71*SUM(D82,D77,D72,D67,D62)</f>
        <v>5385.2208549798388</v>
      </c>
      <c r="E89" s="79">
        <f>SharedStaff!E71*SUM(E82,E77,E72,E67,E62)</f>
        <v>5500.1453328080461</v>
      </c>
      <c r="F89" s="79">
        <f>SharedStaff!F71*SUM(F82,F77,F72,F67,F62)</f>
        <v>5610.3326554731802</v>
      </c>
      <c r="G89" s="79">
        <f>SharedStaff!G71*SUM(G82,G77,G72,G67,G62)</f>
        <v>5728.0034903083106</v>
      </c>
      <c r="H89" s="79">
        <f>SharedStaff!H71*SUM(H82,H77,H72,H67,H62)</f>
        <v>5850.4065095246024</v>
      </c>
      <c r="I89" s="79">
        <f>SharedStaff!I71*SUM(I82,I77,I72,I67,I62)</f>
        <v>5967.0757318042679</v>
      </c>
      <c r="K89" s="33"/>
      <c r="M89" s="33"/>
    </row>
    <row r="90" spans="1:18" ht="15">
      <c r="A90" s="46"/>
      <c r="B90" s="142" t="s">
        <v>66</v>
      </c>
      <c r="C90" s="139">
        <f>SharedStaff!C73*SUM(C62,C67,C72,C77,C82)</f>
        <v>1965.7960849999999</v>
      </c>
      <c r="D90" s="79">
        <f>SharedStaff!D73*SUM(D62,D67,D72,D77,D82)</f>
        <v>3160.7374691319587</v>
      </c>
      <c r="E90" s="79">
        <f>SharedStaff!E73*SUM(E62,E67,E72,E77,E82)</f>
        <v>3228.1898750729583</v>
      </c>
      <c r="F90" s="79">
        <f>SharedStaff!F73*SUM(F62,F67,F72,F77,F82)</f>
        <v>3292.8619115130168</v>
      </c>
      <c r="G90" s="79">
        <f>SharedStaff!G73*SUM(G62,G67,G72,G77,G82)</f>
        <v>3361.9262315665765</v>
      </c>
      <c r="H90" s="79">
        <f>SharedStaff!H73*SUM(H62,H67,H72,H77,H82)</f>
        <v>3433.7680036294728</v>
      </c>
      <c r="I90" s="79">
        <f>SharedStaff!I73*SUM(I62,I67,I72,I77,I82)</f>
        <v>3502.244449124335</v>
      </c>
      <c r="K90" s="33"/>
      <c r="M90" s="33"/>
    </row>
    <row r="91" spans="1:18" ht="15">
      <c r="A91" s="46"/>
      <c r="B91" s="142" t="s">
        <v>176</v>
      </c>
      <c r="C91" s="140">
        <f>(SharedStaff!C75*IF(C62&gt;SharedStaff!C76,SharedStaff!C76,C62))+(SharedStaff!C75*IF(C67&gt;SharedStaff!C76,SharedStaff!C76,C67))+(SharedStaff!C75*IF(C72&gt;SharedStaff!C76,SharedStaff!C76,C72))+(SharedStaff!C75*IF(C77&gt;SharedStaff!C76,SharedStaff!C76,C77))+(SharedStaff!C75*IF(C82&gt;SharedStaff!C76,SharedStaff!C76,C82))</f>
        <v>756</v>
      </c>
      <c r="D91" s="82">
        <f>(SharedStaff!D75*IF(D62&gt;SharedStaff!D76,SharedStaff!D76,D62))+(SharedStaff!D75*IF(D67&gt;SharedStaff!D76,SharedStaff!D76,D67))+(SharedStaff!D75*IF(D72&gt;SharedStaff!D76,SharedStaff!D76,D72))+(SharedStaff!D75*IF(D77&gt;SharedStaff!D76,SharedStaff!D76,D77))+(SharedStaff!D75*IF(D82&gt;SharedStaff!D76,SharedStaff!D76,D82))</f>
        <v>1727.5569916193451</v>
      </c>
      <c r="E91" s="82">
        <f>(SharedStaff!E75*IF(E62&gt;SharedStaff!E76,SharedStaff!E76,E62))+(SharedStaff!E75*IF(E67&gt;SharedStaff!E76,SharedStaff!E76,E67))+(SharedStaff!E75*IF(E72&gt;SharedStaff!E76,SharedStaff!E76,E72))+(SharedStaff!E75*IF(E77&gt;SharedStaff!E76,SharedStaff!E76,E77))+(SharedStaff!E75*IF(E82&gt;SharedStaff!E76,SharedStaff!E76,E82))</f>
        <v>1728</v>
      </c>
      <c r="F91" s="82">
        <f>(SharedStaff!F75*IF(F62&gt;SharedStaff!F76,SharedStaff!F76,F62))+(SharedStaff!F75*IF(F67&gt;SharedStaff!F76,SharedStaff!F76,F67))+(SharedStaff!F75*IF(F72&gt;SharedStaff!F76,SharedStaff!F76,F72))+(SharedStaff!F75*IF(F77&gt;SharedStaff!F76,SharedStaff!F76,F77))+(SharedStaff!F75*IF(F82&gt;SharedStaff!F76,SharedStaff!F76,F82))</f>
        <v>1620</v>
      </c>
      <c r="G91" s="82">
        <f>(SharedStaff!G75*IF(G62&gt;SharedStaff!G76,SharedStaff!G76,G62))+(SharedStaff!G75*IF(G67&gt;SharedStaff!G76,SharedStaff!G76,G67))+(SharedStaff!G75*IF(G72&gt;SharedStaff!G76,SharedStaff!G76,G72))+(SharedStaff!G75*IF(G77&gt;SharedStaff!G76,SharedStaff!G76,G77))+(SharedStaff!G75*IF(G82&gt;SharedStaff!G76,SharedStaff!G76,G82))</f>
        <v>1512</v>
      </c>
      <c r="H91" s="82">
        <f>(SharedStaff!H75*IF(H62&gt;SharedStaff!H76,SharedStaff!H76,H62))+(SharedStaff!H75*IF(H67&gt;SharedStaff!H76,SharedStaff!H76,H67))+(SharedStaff!H75*IF(H72&gt;SharedStaff!H76,SharedStaff!H76,H72))+(SharedStaff!H75*IF(H77&gt;SharedStaff!H76,SharedStaff!H76,H77))+(SharedStaff!H75*IF(H82&gt;SharedStaff!H76,SharedStaff!H76,H82))</f>
        <v>1404</v>
      </c>
      <c r="I91" s="82">
        <f>(SharedStaff!I75*IF(I62&gt;SharedStaff!I76,SharedStaff!I76,I62))+(SharedStaff!I75*IF(I67&gt;SharedStaff!I76,SharedStaff!I76,I67))+(SharedStaff!I75*IF(I72&gt;SharedStaff!I76,SharedStaff!I76,I72))+(SharedStaff!I75*IF(I77&gt;SharedStaff!I76,SharedStaff!I76,I77))+(SharedStaff!I75*IF(I82&gt;SharedStaff!I76,SharedStaff!I76,I82))</f>
        <v>1296</v>
      </c>
      <c r="K91" s="33"/>
      <c r="M91" s="33"/>
    </row>
    <row r="92" spans="1:18" ht="15">
      <c r="A92" s="46"/>
      <c r="B92" s="142" t="s">
        <v>52</v>
      </c>
      <c r="C92" s="139">
        <f>'PPA-Staff'!C46*C88</f>
        <v>6786.155749999999</v>
      </c>
      <c r="D92" s="79">
        <f>'PPA-Staff'!D46*D88</f>
        <v>10911.231797671569</v>
      </c>
      <c r="E92" s="79">
        <f>'PPA-Staff'!E46*E88</f>
        <v>11144.085314839833</v>
      </c>
      <c r="F92" s="79">
        <f>'PPA-Staff'!F46*F88</f>
        <v>11367.340674488143</v>
      </c>
      <c r="G92" s="79">
        <f>'PPA-Staff'!G46*G88</f>
        <v>11605.758705853439</v>
      </c>
      <c r="H92" s="79">
        <f>'PPA-Staff'!H46*H88</f>
        <v>11853.764823219783</v>
      </c>
      <c r="I92" s="79">
        <f>'PPA-Staff'!I46*I88</f>
        <v>12090.153443524987</v>
      </c>
      <c r="K92" s="33"/>
      <c r="M92" s="33"/>
    </row>
    <row r="93" spans="1:18">
      <c r="A93" s="46"/>
      <c r="B93" s="46"/>
    </row>
    <row r="94" spans="1:18">
      <c r="A94" s="46"/>
      <c r="B94" s="51" t="s">
        <v>47</v>
      </c>
      <c r="C94" s="141">
        <f>SUM(C88:C92)</f>
        <v>56638.898059999992</v>
      </c>
      <c r="D94" s="141">
        <f t="shared" ref="D94:I94" si="23">SUM(D88:D92)</f>
        <v>91579.790969348323</v>
      </c>
      <c r="E94" s="141">
        <f t="shared" si="23"/>
        <v>93497.745134590717</v>
      </c>
      <c r="F94" s="141">
        <f t="shared" si="23"/>
        <v>95228.217012365581</v>
      </c>
      <c r="G94" s="141">
        <f t="shared" si="23"/>
        <v>97083.551046137625</v>
      </c>
      <c r="H94" s="141">
        <f t="shared" si="23"/>
        <v>99017.841421662786</v>
      </c>
      <c r="I94" s="141">
        <f t="shared" si="23"/>
        <v>100856.46358267932</v>
      </c>
    </row>
    <row r="98" spans="2:10" ht="23.25" thickBot="1">
      <c r="B98" s="40" t="s">
        <v>183</v>
      </c>
      <c r="C98" s="41"/>
      <c r="D98" s="41"/>
      <c r="E98" s="41"/>
      <c r="F98" s="41"/>
      <c r="G98" s="41"/>
      <c r="H98" s="41"/>
      <c r="I98" s="41"/>
    </row>
    <row r="99" spans="2:10">
      <c r="B99" s="143" t="s">
        <v>361</v>
      </c>
      <c r="C99" s="144">
        <f>SharedStaff!C17</f>
        <v>1</v>
      </c>
      <c r="D99" s="144">
        <f>SharedStaff!D17</f>
        <v>0.69148936170212771</v>
      </c>
      <c r="E99" s="144">
        <f>SharedStaff!E17</f>
        <v>0.6132075471698113</v>
      </c>
      <c r="F99" s="144">
        <f>SharedStaff!F17</f>
        <v>0.59724349157733536</v>
      </c>
      <c r="G99" s="144">
        <f>SharedStaff!G17</f>
        <v>0.56768558951965065</v>
      </c>
      <c r="H99" s="144">
        <f>SharedStaff!H17</f>
        <v>0.55397727272727271</v>
      </c>
      <c r="I99" s="144">
        <f>SharedStaff!I17</f>
        <v>0.55397727272727271</v>
      </c>
    </row>
    <row r="100" spans="2:10" ht="15">
      <c r="B100" s="142" t="s">
        <v>359</v>
      </c>
      <c r="C100" s="79">
        <f>C$99*C88</f>
        <v>43781.649999999994</v>
      </c>
      <c r="D100" s="79">
        <f t="shared" ref="D100:I100" si="24">D$99*D88</f>
        <v>48677.423942941117</v>
      </c>
      <c r="E100" s="79">
        <f t="shared" si="24"/>
        <v>44087.982073316438</v>
      </c>
      <c r="F100" s="79">
        <f t="shared" si="24"/>
        <v>43800.453125034583</v>
      </c>
      <c r="G100" s="79">
        <f t="shared" si="24"/>
        <v>42505.948211324052</v>
      </c>
      <c r="H100" s="79">
        <f t="shared" si="24"/>
        <v>42365.911666566302</v>
      </c>
      <c r="I100" s="79">
        <f t="shared" si="24"/>
        <v>43210.775687085268</v>
      </c>
    </row>
    <row r="101" spans="2:10" ht="15">
      <c r="B101" s="142" t="s">
        <v>175</v>
      </c>
      <c r="C101" s="79">
        <f>C$99*C89</f>
        <v>3349.2962249999996</v>
      </c>
      <c r="D101" s="79">
        <f t="shared" ref="D101:I104" si="25">D$99*D89</f>
        <v>3723.8229316349953</v>
      </c>
      <c r="E101" s="79">
        <f t="shared" si="25"/>
        <v>3372.7306286087073</v>
      </c>
      <c r="F101" s="79">
        <f t="shared" si="25"/>
        <v>3350.7346640651458</v>
      </c>
      <c r="G101" s="79">
        <f t="shared" si="25"/>
        <v>3251.7050381662898</v>
      </c>
      <c r="H101" s="79">
        <f t="shared" si="25"/>
        <v>3240.992242492322</v>
      </c>
      <c r="I101" s="79">
        <f t="shared" si="25"/>
        <v>3305.6243400620233</v>
      </c>
    </row>
    <row r="102" spans="2:10" ht="15">
      <c r="B102" s="142" t="s">
        <v>66</v>
      </c>
      <c r="C102" s="79">
        <f>C$99*C90</f>
        <v>1965.7960849999999</v>
      </c>
      <c r="D102" s="79">
        <f t="shared" si="25"/>
        <v>2185.6163350380566</v>
      </c>
      <c r="E102" s="79">
        <f t="shared" si="25"/>
        <v>1979.5503950919083</v>
      </c>
      <c r="F102" s="79">
        <f t="shared" si="25"/>
        <v>1966.6403453140529</v>
      </c>
      <c r="G102" s="79">
        <f t="shared" si="25"/>
        <v>1908.5170746884494</v>
      </c>
      <c r="H102" s="79">
        <f t="shared" si="25"/>
        <v>1902.2294338288273</v>
      </c>
      <c r="I102" s="79">
        <f t="shared" si="25"/>
        <v>1940.1638283501286</v>
      </c>
    </row>
    <row r="103" spans="2:10" ht="15">
      <c r="B103" s="142" t="s">
        <v>176</v>
      </c>
      <c r="C103" s="79">
        <f>C$99*C91</f>
        <v>756</v>
      </c>
      <c r="D103" s="79">
        <f t="shared" si="25"/>
        <v>1194.587281438909</v>
      </c>
      <c r="E103" s="79">
        <f t="shared" si="25"/>
        <v>1059.6226415094338</v>
      </c>
      <c r="F103" s="79">
        <f t="shared" si="25"/>
        <v>967.53445635528328</v>
      </c>
      <c r="G103" s="79">
        <f t="shared" si="25"/>
        <v>858.34061135371178</v>
      </c>
      <c r="H103" s="79">
        <f t="shared" si="25"/>
        <v>777.78409090909088</v>
      </c>
      <c r="I103" s="79">
        <f t="shared" si="25"/>
        <v>717.95454545454538</v>
      </c>
    </row>
    <row r="104" spans="2:10" ht="15">
      <c r="B104" s="142" t="s">
        <v>52</v>
      </c>
      <c r="C104" s="79">
        <f>C$99*C92</f>
        <v>6786.155749999999</v>
      </c>
      <c r="D104" s="79">
        <f t="shared" si="25"/>
        <v>7545.0007111558734</v>
      </c>
      <c r="E104" s="79">
        <f t="shared" si="25"/>
        <v>6833.6372213640479</v>
      </c>
      <c r="F104" s="79">
        <f t="shared" si="25"/>
        <v>6789.0702343803614</v>
      </c>
      <c r="G104" s="79">
        <f t="shared" si="25"/>
        <v>6588.4219727552272</v>
      </c>
      <c r="H104" s="79">
        <f t="shared" si="25"/>
        <v>6566.7163083177775</v>
      </c>
      <c r="I104" s="79">
        <f t="shared" si="25"/>
        <v>6697.6702314982167</v>
      </c>
    </row>
    <row r="105" spans="2:10">
      <c r="B105" s="46"/>
    </row>
    <row r="106" spans="2:10">
      <c r="B106" s="51" t="s">
        <v>47</v>
      </c>
      <c r="C106" s="141">
        <f t="shared" ref="C106:I106" si="26">SUM(C100:C104)</f>
        <v>56638.898059999992</v>
      </c>
      <c r="D106" s="141">
        <f t="shared" si="26"/>
        <v>63326.451202208955</v>
      </c>
      <c r="E106" s="141">
        <f t="shared" si="26"/>
        <v>57333.522959890535</v>
      </c>
      <c r="F106" s="141">
        <f t="shared" si="26"/>
        <v>56874.43282514943</v>
      </c>
      <c r="G106" s="141">
        <f t="shared" si="26"/>
        <v>55112.93290828773</v>
      </c>
      <c r="H106" s="141">
        <f t="shared" si="26"/>
        <v>54853.633742114318</v>
      </c>
      <c r="I106" s="141">
        <f t="shared" si="26"/>
        <v>55872.188632450183</v>
      </c>
      <c r="J106" s="33"/>
    </row>
    <row r="109" spans="2:10" ht="23.25" thickBot="1">
      <c r="B109" s="40" t="s">
        <v>360</v>
      </c>
      <c r="C109" s="41"/>
      <c r="D109" s="41"/>
      <c r="E109" s="41"/>
      <c r="F109" s="41"/>
      <c r="G109" s="41"/>
      <c r="H109" s="41"/>
      <c r="I109" s="41"/>
    </row>
    <row r="110" spans="2:10">
      <c r="B110" s="143" t="s">
        <v>361</v>
      </c>
      <c r="C110" s="144">
        <f>SharedStaff!C18</f>
        <v>0</v>
      </c>
      <c r="D110" s="144">
        <f>SharedStaff!D18</f>
        <v>0.30851063829787234</v>
      </c>
      <c r="E110" s="144">
        <f>SharedStaff!E18</f>
        <v>0.3867924528301887</v>
      </c>
      <c r="F110" s="144">
        <f>SharedStaff!F18</f>
        <v>0.40275650842266464</v>
      </c>
      <c r="G110" s="144">
        <f>SharedStaff!G18</f>
        <v>0.43231441048034935</v>
      </c>
      <c r="H110" s="144">
        <f>SharedStaff!H18</f>
        <v>0.44602272727272729</v>
      </c>
      <c r="I110" s="144">
        <f>SharedStaff!I18</f>
        <v>0.44602272727272729</v>
      </c>
    </row>
    <row r="111" spans="2:10" ht="15">
      <c r="B111" s="142" t="s">
        <v>359</v>
      </c>
      <c r="C111" s="79">
        <f>C$110*C88</f>
        <v>0</v>
      </c>
      <c r="D111" s="79">
        <f t="shared" ref="D111:I111" si="27">D$110*D88</f>
        <v>21717.619913004495</v>
      </c>
      <c r="E111" s="79">
        <f t="shared" si="27"/>
        <v>27809.34253855345</v>
      </c>
      <c r="F111" s="79">
        <f t="shared" si="27"/>
        <v>29537.228645856656</v>
      </c>
      <c r="G111" s="79">
        <f t="shared" si="27"/>
        <v>32369.914407085238</v>
      </c>
      <c r="H111" s="79">
        <f t="shared" si="27"/>
        <v>34109.99041872262</v>
      </c>
      <c r="I111" s="79">
        <f t="shared" si="27"/>
        <v>34790.214271140452</v>
      </c>
    </row>
    <row r="112" spans="2:10" ht="15">
      <c r="B112" s="142" t="s">
        <v>175</v>
      </c>
      <c r="C112" s="79">
        <f t="shared" ref="C112:I115" si="28">C$110*C89</f>
        <v>0</v>
      </c>
      <c r="D112" s="79">
        <f t="shared" si="28"/>
        <v>1661.397923344844</v>
      </c>
      <c r="E112" s="79">
        <f t="shared" si="28"/>
        <v>2127.4147041993388</v>
      </c>
      <c r="F112" s="79">
        <f t="shared" si="28"/>
        <v>2259.5979914080344</v>
      </c>
      <c r="G112" s="79">
        <f t="shared" si="28"/>
        <v>2476.2984521420208</v>
      </c>
      <c r="H112" s="79">
        <f t="shared" si="28"/>
        <v>2609.4142670322803</v>
      </c>
      <c r="I112" s="79">
        <f t="shared" si="28"/>
        <v>2661.4513917422446</v>
      </c>
    </row>
    <row r="113" spans="1:9" ht="15">
      <c r="B113" s="142" t="s">
        <v>66</v>
      </c>
      <c r="C113" s="79">
        <f t="shared" si="28"/>
        <v>0</v>
      </c>
      <c r="D113" s="79">
        <f t="shared" si="28"/>
        <v>975.12113409390213</v>
      </c>
      <c r="E113" s="79">
        <f t="shared" si="28"/>
        <v>1248.63947998105</v>
      </c>
      <c r="F113" s="79">
        <f t="shared" si="28"/>
        <v>1326.221566198964</v>
      </c>
      <c r="G113" s="79">
        <f t="shared" si="28"/>
        <v>1453.4091568781271</v>
      </c>
      <c r="H113" s="79">
        <f t="shared" si="28"/>
        <v>1531.5385698006455</v>
      </c>
      <c r="I113" s="79">
        <f t="shared" si="28"/>
        <v>1562.0806207742064</v>
      </c>
    </row>
    <row r="114" spans="1:9" ht="15">
      <c r="B114" s="142" t="s">
        <v>176</v>
      </c>
      <c r="C114" s="79">
        <f t="shared" si="28"/>
        <v>0</v>
      </c>
      <c r="D114" s="79">
        <f t="shared" si="28"/>
        <v>532.96971018043621</v>
      </c>
      <c r="E114" s="79">
        <f t="shared" si="28"/>
        <v>668.37735849056605</v>
      </c>
      <c r="F114" s="79">
        <f t="shared" si="28"/>
        <v>652.46554364471672</v>
      </c>
      <c r="G114" s="79">
        <f t="shared" si="28"/>
        <v>653.65938864628822</v>
      </c>
      <c r="H114" s="79">
        <f t="shared" si="28"/>
        <v>626.21590909090912</v>
      </c>
      <c r="I114" s="79">
        <f t="shared" si="28"/>
        <v>578.04545454545462</v>
      </c>
    </row>
    <row r="115" spans="1:9" ht="15">
      <c r="B115" s="142" t="s">
        <v>52</v>
      </c>
      <c r="C115" s="79">
        <f t="shared" si="28"/>
        <v>0</v>
      </c>
      <c r="D115" s="79">
        <f t="shared" si="28"/>
        <v>3366.2310865156969</v>
      </c>
      <c r="E115" s="79">
        <f t="shared" si="28"/>
        <v>4310.4480934757848</v>
      </c>
      <c r="F115" s="79">
        <f t="shared" si="28"/>
        <v>4578.2704401077817</v>
      </c>
      <c r="G115" s="79">
        <f t="shared" si="28"/>
        <v>5017.3367330982119</v>
      </c>
      <c r="H115" s="79">
        <f t="shared" si="28"/>
        <v>5287.0485149020051</v>
      </c>
      <c r="I115" s="79">
        <f t="shared" si="28"/>
        <v>5392.4832120267702</v>
      </c>
    </row>
    <row r="116" spans="1:9">
      <c r="B116" s="46"/>
    </row>
    <row r="117" spans="1:9">
      <c r="B117" s="51" t="s">
        <v>47</v>
      </c>
      <c r="C117" s="141">
        <f t="shared" ref="C117:I117" si="29">SUM(C111:C115)</f>
        <v>0</v>
      </c>
      <c r="D117" s="141">
        <f t="shared" si="29"/>
        <v>28253.339767139376</v>
      </c>
      <c r="E117" s="141">
        <f t="shared" si="29"/>
        <v>36164.222174700189</v>
      </c>
      <c r="F117" s="141">
        <f t="shared" si="29"/>
        <v>38353.784187216144</v>
      </c>
      <c r="G117" s="141">
        <f t="shared" si="29"/>
        <v>41970.618137849888</v>
      </c>
      <c r="H117" s="141">
        <f t="shared" si="29"/>
        <v>44164.207679548461</v>
      </c>
      <c r="I117" s="141">
        <f t="shared" si="29"/>
        <v>44984.274950229126</v>
      </c>
    </row>
    <row r="118" spans="1:9">
      <c r="B118" s="185"/>
      <c r="C118" s="186"/>
      <c r="D118" s="186"/>
      <c r="E118" s="186"/>
      <c r="F118" s="186"/>
      <c r="G118" s="186"/>
      <c r="H118" s="186"/>
      <c r="I118" s="186"/>
    </row>
    <row r="119" spans="1:9">
      <c r="B119" s="185"/>
      <c r="C119" s="186"/>
      <c r="D119" s="186"/>
      <c r="E119" s="186"/>
      <c r="F119" s="186"/>
      <c r="G119" s="186"/>
      <c r="H119" s="186"/>
      <c r="I119" s="186"/>
    </row>
    <row r="121" spans="1:9" ht="23.25" thickBot="1">
      <c r="A121" s="34" t="s">
        <v>517</v>
      </c>
      <c r="B121" s="35"/>
      <c r="C121" s="35"/>
      <c r="D121" s="35"/>
      <c r="E121" s="35"/>
      <c r="F121" s="35"/>
      <c r="G121" s="35"/>
      <c r="H121" s="35"/>
      <c r="I121" s="35"/>
    </row>
    <row r="122" spans="1:9" ht="23.25" thickBot="1">
      <c r="B122" s="301" t="s">
        <v>183</v>
      </c>
      <c r="C122" s="302"/>
      <c r="D122" s="302"/>
      <c r="E122" s="302"/>
      <c r="F122" s="302"/>
      <c r="G122" s="302"/>
      <c r="H122" s="302"/>
      <c r="I122" s="302"/>
    </row>
    <row r="123" spans="1:9">
      <c r="C123" s="299">
        <f>'Purchase Building'!C21</f>
        <v>0.40934065934065933</v>
      </c>
      <c r="D123" s="300"/>
      <c r="E123" s="300"/>
      <c r="F123" s="300"/>
      <c r="G123" s="300"/>
      <c r="H123" s="300"/>
      <c r="I123" s="300"/>
    </row>
    <row r="124" spans="1:9">
      <c r="B124" s="214" t="s">
        <v>362</v>
      </c>
      <c r="C124" s="297">
        <f>((1-C123)*(C18+C19+C20))+(C123*C26)</f>
        <v>456934.35729670327</v>
      </c>
      <c r="D124" s="297">
        <f t="shared" ref="D124:I124" si="30">(IF($B$14,D$26-D$27,D$18)+D$48)*D122</f>
        <v>0</v>
      </c>
      <c r="E124" s="297">
        <f t="shared" si="30"/>
        <v>0</v>
      </c>
      <c r="F124" s="297">
        <f t="shared" si="30"/>
        <v>0</v>
      </c>
      <c r="G124" s="297">
        <f t="shared" si="30"/>
        <v>0</v>
      </c>
      <c r="H124" s="297">
        <f t="shared" si="30"/>
        <v>0</v>
      </c>
      <c r="I124" s="297">
        <f t="shared" si="30"/>
        <v>0</v>
      </c>
    </row>
    <row r="125" spans="1:9">
      <c r="B125" s="214" t="s">
        <v>364</v>
      </c>
      <c r="C125" s="297">
        <f t="shared" ref="C125:I125" si="31">IF($B$14,C$28,C$19)*C122</f>
        <v>0</v>
      </c>
      <c r="D125" s="297">
        <f t="shared" si="31"/>
        <v>0</v>
      </c>
      <c r="E125" s="297">
        <f t="shared" si="31"/>
        <v>0</v>
      </c>
      <c r="F125" s="297">
        <f t="shared" si="31"/>
        <v>0</v>
      </c>
      <c r="G125" s="297">
        <f t="shared" si="31"/>
        <v>0</v>
      </c>
      <c r="H125" s="297">
        <f t="shared" si="31"/>
        <v>0</v>
      </c>
      <c r="I125" s="297">
        <f t="shared" si="31"/>
        <v>0</v>
      </c>
    </row>
    <row r="126" spans="1:9">
      <c r="B126" s="214" t="s">
        <v>268</v>
      </c>
      <c r="C126" s="297">
        <f t="shared" ref="C126:I126" si="32">IF($B$14,0,C$20)*C122</f>
        <v>0</v>
      </c>
      <c r="D126" s="297">
        <f t="shared" si="32"/>
        <v>0</v>
      </c>
      <c r="E126" s="297">
        <f t="shared" si="32"/>
        <v>0</v>
      </c>
      <c r="F126" s="297">
        <f t="shared" si="32"/>
        <v>0</v>
      </c>
      <c r="G126" s="297">
        <f t="shared" si="32"/>
        <v>0</v>
      </c>
      <c r="H126" s="297">
        <f t="shared" si="32"/>
        <v>0</v>
      </c>
      <c r="I126" s="297">
        <f t="shared" si="32"/>
        <v>0</v>
      </c>
    </row>
    <row r="127" spans="1:9">
      <c r="B127" s="214" t="s">
        <v>269</v>
      </c>
      <c r="C127" s="297">
        <f t="shared" ref="C127:I127" si="33">C$21*C122</f>
        <v>0</v>
      </c>
      <c r="D127" s="297">
        <f t="shared" si="33"/>
        <v>0</v>
      </c>
      <c r="E127" s="297">
        <f t="shared" si="33"/>
        <v>0</v>
      </c>
      <c r="F127" s="297">
        <f t="shared" si="33"/>
        <v>0</v>
      </c>
      <c r="G127" s="297">
        <f t="shared" si="33"/>
        <v>0</v>
      </c>
      <c r="H127" s="297">
        <f t="shared" si="33"/>
        <v>0</v>
      </c>
      <c r="I127" s="297">
        <f t="shared" si="33"/>
        <v>0</v>
      </c>
    </row>
    <row r="134" spans="1:9" ht="23.25" thickBot="1">
      <c r="A134" s="34" t="s">
        <v>363</v>
      </c>
      <c r="B134" s="35"/>
      <c r="C134" s="35"/>
      <c r="D134" s="35"/>
      <c r="E134" s="35"/>
      <c r="F134" s="35"/>
      <c r="G134" s="35"/>
      <c r="H134" s="35"/>
      <c r="I134" s="35"/>
    </row>
    <row r="135" spans="1:9" ht="23.25" thickBot="1">
      <c r="B135" s="40" t="s">
        <v>183</v>
      </c>
      <c r="C135" s="41"/>
      <c r="D135" s="41"/>
      <c r="E135" s="41"/>
      <c r="F135" s="41"/>
      <c r="G135" s="41"/>
      <c r="H135" s="41"/>
      <c r="I135" s="41"/>
    </row>
    <row r="136" spans="1:9">
      <c r="B136" s="143" t="s">
        <v>361</v>
      </c>
      <c r="C136" s="144">
        <f>IF($B$14,SharedStaff!C17,1)</f>
        <v>1</v>
      </c>
      <c r="D136" s="144">
        <f>IF($B$14,SharedStaff!D17,1)</f>
        <v>0.69148936170212771</v>
      </c>
      <c r="E136" s="144">
        <f>IF($B$14,SharedStaff!E17,1)</f>
        <v>0.6132075471698113</v>
      </c>
      <c r="F136" s="144">
        <f>IF($B$14,SharedStaff!F17,1)</f>
        <v>0.59724349157733536</v>
      </c>
      <c r="G136" s="144">
        <f>IF($B$14,SharedStaff!G17,1)</f>
        <v>0.56768558951965065</v>
      </c>
      <c r="H136" s="144">
        <f>IF($B$14,SharedStaff!H17,1)</f>
        <v>0.55397727272727271</v>
      </c>
      <c r="I136" s="144">
        <f>IF($B$14,SharedStaff!I17,1)</f>
        <v>0.55397727272727271</v>
      </c>
    </row>
    <row r="137" spans="1:9">
      <c r="B137" s="214" t="s">
        <v>83</v>
      </c>
      <c r="C137" s="297">
        <f>C$45*C136</f>
        <v>5000</v>
      </c>
      <c r="D137" s="297">
        <f t="shared" ref="D137:I137" si="34">D$45*D136</f>
        <v>3492.0212765957449</v>
      </c>
      <c r="E137" s="297">
        <f t="shared" si="34"/>
        <v>3127.6650943396226</v>
      </c>
      <c r="F137" s="297">
        <f t="shared" si="34"/>
        <v>3076.7028330781009</v>
      </c>
      <c r="G137" s="297">
        <f t="shared" si="34"/>
        <v>2953.6795043668121</v>
      </c>
      <c r="H137" s="297">
        <f t="shared" si="34"/>
        <v>2911.1784058167614</v>
      </c>
      <c r="I137" s="297">
        <f t="shared" si="34"/>
        <v>2940.2901898749287</v>
      </c>
    </row>
    <row r="138" spans="1:9">
      <c r="B138" s="214" t="s">
        <v>362</v>
      </c>
      <c r="C138" s="297">
        <f>('Purchase Building'!B76*Facilities!C136)+C48</f>
        <v>423192.64333333343</v>
      </c>
      <c r="D138" s="297">
        <f>('Purchase Building'!C76*Facilities!D136)+D48</f>
        <v>330753.5676595745</v>
      </c>
      <c r="E138" s="297">
        <f>('Purchase Building'!D76*Facilities!E136)+E48</f>
        <v>347710.17822110042</v>
      </c>
      <c r="F138" s="297">
        <f>('Purchase Building'!E76*Facilities!F136)+F48</f>
        <v>404474.42421544826</v>
      </c>
      <c r="G138" s="297">
        <f>('Purchase Building'!F76*Facilities!G136)+G48</f>
        <v>384456.76712181623</v>
      </c>
      <c r="H138" s="297">
        <f>('Purchase Building'!G76*Facilities!H136)+H48</f>
        <v>375173.00996120414</v>
      </c>
      <c r="I138" s="297">
        <f>('Purchase Building'!H76*Facilities!I136)+I48</f>
        <v>375173.00996120414</v>
      </c>
    </row>
    <row r="139" spans="1:9">
      <c r="B139" s="214" t="s">
        <v>364</v>
      </c>
      <c r="C139" s="297"/>
      <c r="D139" s="297"/>
      <c r="E139" s="297"/>
      <c r="F139" s="297"/>
      <c r="G139" s="297"/>
      <c r="H139" s="297"/>
      <c r="I139" s="297"/>
    </row>
    <row r="140" spans="1:9">
      <c r="B140" s="214" t="s">
        <v>268</v>
      </c>
      <c r="C140" s="297"/>
      <c r="D140" s="297"/>
      <c r="E140" s="297"/>
      <c r="F140" s="297"/>
      <c r="G140" s="297"/>
      <c r="H140" s="297"/>
      <c r="I140" s="297"/>
    </row>
    <row r="141" spans="1:9">
      <c r="B141" s="214" t="s">
        <v>269</v>
      </c>
      <c r="C141" s="297">
        <f>C21</f>
        <v>37247</v>
      </c>
      <c r="D141" s="297">
        <f t="shared" ref="D141:I141" si="35">D21</f>
        <v>37247</v>
      </c>
      <c r="E141" s="297">
        <f t="shared" si="35"/>
        <v>37247</v>
      </c>
      <c r="F141" s="297">
        <f t="shared" si="35"/>
        <v>37247</v>
      </c>
      <c r="G141" s="297">
        <f t="shared" si="35"/>
        <v>37247</v>
      </c>
      <c r="H141" s="297">
        <f t="shared" si="35"/>
        <v>0</v>
      </c>
      <c r="I141" s="297">
        <f t="shared" si="35"/>
        <v>0</v>
      </c>
    </row>
    <row r="142" spans="1:9">
      <c r="B142" s="214" t="s">
        <v>270</v>
      </c>
      <c r="C142" s="297">
        <f>IF($B$14,0,C$22)*C136</f>
        <v>0</v>
      </c>
      <c r="D142" s="297">
        <f t="shared" ref="D142:I142" si="36">IF($B$14,0,D$22)*D136</f>
        <v>0</v>
      </c>
      <c r="E142" s="297">
        <f t="shared" si="36"/>
        <v>0</v>
      </c>
      <c r="F142" s="297">
        <f t="shared" si="36"/>
        <v>0</v>
      </c>
      <c r="G142" s="297">
        <f t="shared" si="36"/>
        <v>0</v>
      </c>
      <c r="H142" s="297">
        <f t="shared" si="36"/>
        <v>0</v>
      </c>
      <c r="I142" s="297">
        <f t="shared" si="36"/>
        <v>0</v>
      </c>
    </row>
    <row r="143" spans="1:9">
      <c r="B143" s="215" t="s">
        <v>272</v>
      </c>
      <c r="C143" s="297">
        <f>C$40*C136</f>
        <v>500</v>
      </c>
      <c r="D143" s="297">
        <f t="shared" ref="D143:I143" si="37">D$40*D136</f>
        <v>349.2021276595745</v>
      </c>
      <c r="E143" s="297">
        <f t="shared" si="37"/>
        <v>312.76650943396226</v>
      </c>
      <c r="F143" s="297">
        <f t="shared" si="37"/>
        <v>307.67028330781005</v>
      </c>
      <c r="G143" s="297">
        <f t="shared" si="37"/>
        <v>295.36795043668121</v>
      </c>
      <c r="H143" s="297">
        <f t="shared" si="37"/>
        <v>291.11784058167609</v>
      </c>
      <c r="I143" s="297">
        <f t="shared" si="37"/>
        <v>294.02901898749286</v>
      </c>
    </row>
    <row r="144" spans="1:9">
      <c r="B144" s="215" t="s">
        <v>273</v>
      </c>
      <c r="C144" s="297">
        <f>C$42*C136</f>
        <v>1000</v>
      </c>
      <c r="D144" s="297">
        <f t="shared" ref="D144:I144" si="38">D$42*D136</f>
        <v>698.404255319149</v>
      </c>
      <c r="E144" s="297">
        <f t="shared" si="38"/>
        <v>625.53301886792451</v>
      </c>
      <c r="F144" s="297">
        <f t="shared" si="38"/>
        <v>615.34056661562011</v>
      </c>
      <c r="G144" s="297">
        <f t="shared" si="38"/>
        <v>590.73590087336243</v>
      </c>
      <c r="H144" s="297">
        <f t="shared" si="38"/>
        <v>582.23568116335218</v>
      </c>
      <c r="I144" s="297">
        <f t="shared" si="38"/>
        <v>588.05803797498572</v>
      </c>
    </row>
    <row r="145" spans="2:9">
      <c r="B145" s="215" t="s">
        <v>274</v>
      </c>
      <c r="C145" s="297">
        <f>C$43*C136</f>
        <v>2500</v>
      </c>
      <c r="D145" s="297">
        <f t="shared" ref="D145:I145" si="39">D$43*D136</f>
        <v>1746.0106382978724</v>
      </c>
      <c r="E145" s="297">
        <f t="shared" si="39"/>
        <v>1563.8325471698113</v>
      </c>
      <c r="F145" s="297">
        <f t="shared" si="39"/>
        <v>1538.3514165390504</v>
      </c>
      <c r="G145" s="297">
        <f t="shared" si="39"/>
        <v>1476.8397521834061</v>
      </c>
      <c r="H145" s="297">
        <f t="shared" si="39"/>
        <v>1455.5892029083807</v>
      </c>
      <c r="I145" s="297">
        <f t="shared" si="39"/>
        <v>1470.1450949374644</v>
      </c>
    </row>
    <row r="146" spans="2:9">
      <c r="B146" s="215" t="s">
        <v>275</v>
      </c>
      <c r="C146" s="297">
        <f>(C$44+IF($B$14,K$52,0))*C136</f>
        <v>10570.054945054944</v>
      </c>
      <c r="D146" s="297">
        <f t="shared" ref="D146:I146" si="40">(D$44+IF($B$14,D$52,0))*D136</f>
        <v>10476.063829787236</v>
      </c>
      <c r="E146" s="297">
        <f t="shared" si="40"/>
        <v>9382.9952830188668</v>
      </c>
      <c r="F146" s="297">
        <f t="shared" si="40"/>
        <v>9230.1084992343021</v>
      </c>
      <c r="G146" s="297">
        <f t="shared" si="40"/>
        <v>8861.0385131004368</v>
      </c>
      <c r="H146" s="297">
        <f t="shared" si="40"/>
        <v>8733.5352174502841</v>
      </c>
      <c r="I146" s="297">
        <f t="shared" si="40"/>
        <v>8820.8705696247871</v>
      </c>
    </row>
    <row r="147" spans="2:9">
      <c r="B147" s="215" t="s">
        <v>276</v>
      </c>
      <c r="C147" s="297">
        <f>C$41*C136</f>
        <v>264</v>
      </c>
      <c r="D147" s="297">
        <f t="shared" ref="D147:I147" si="41">D$41*D136</f>
        <v>184.37872340425531</v>
      </c>
      <c r="E147" s="297">
        <f t="shared" si="41"/>
        <v>165.14071698113207</v>
      </c>
      <c r="F147" s="297">
        <f t="shared" si="41"/>
        <v>162.44990958652372</v>
      </c>
      <c r="G147" s="297">
        <f t="shared" si="41"/>
        <v>155.95427783056766</v>
      </c>
      <c r="H147" s="297">
        <f t="shared" si="41"/>
        <v>153.71021982712497</v>
      </c>
      <c r="I147" s="297">
        <f t="shared" si="41"/>
        <v>155.24732202539622</v>
      </c>
    </row>
    <row r="148" spans="2:9">
      <c r="B148" s="215" t="s">
        <v>277</v>
      </c>
      <c r="C148" s="297">
        <f>C$46*C136</f>
        <v>2250</v>
      </c>
      <c r="D148" s="297">
        <f t="shared" ref="D148:I148" si="42">D$46*D136</f>
        <v>1571.4095744680853</v>
      </c>
      <c r="E148" s="297">
        <f t="shared" si="42"/>
        <v>1407.4492924528302</v>
      </c>
      <c r="F148" s="297">
        <f t="shared" si="42"/>
        <v>1384.5162748851453</v>
      </c>
      <c r="G148" s="297">
        <f t="shared" si="42"/>
        <v>1329.1557769650653</v>
      </c>
      <c r="H148" s="297">
        <f t="shared" si="42"/>
        <v>1310.0302826175425</v>
      </c>
      <c r="I148" s="297">
        <f t="shared" si="42"/>
        <v>1323.1305854437178</v>
      </c>
    </row>
    <row r="149" spans="2:9">
      <c r="B149" s="216" t="s">
        <v>278</v>
      </c>
      <c r="C149" s="297">
        <f>C$36*C136</f>
        <v>41362.1</v>
      </c>
      <c r="D149" s="297">
        <f t="shared" ref="D149:I149" si="43">D$36*D136</f>
        <v>29261.485638297876</v>
      </c>
      <c r="E149" s="297">
        <f t="shared" si="43"/>
        <v>26534.177358490568</v>
      </c>
      <c r="F149" s="297">
        <f t="shared" si="43"/>
        <v>26603.49464012251</v>
      </c>
      <c r="G149" s="297">
        <f t="shared" si="43"/>
        <v>25828.734934497814</v>
      </c>
      <c r="H149" s="297">
        <f t="shared" si="43"/>
        <v>25910.065482954542</v>
      </c>
      <c r="I149" s="297">
        <f t="shared" si="43"/>
        <v>26615.101278409089</v>
      </c>
    </row>
    <row r="150" spans="2:9">
      <c r="B150" s="214" t="s">
        <v>84</v>
      </c>
      <c r="C150" s="297">
        <f>C$47*C136</f>
        <v>14000</v>
      </c>
      <c r="D150" s="297">
        <f t="shared" ref="D150:I150" si="44">D$47*D136</f>
        <v>9777.6595744680853</v>
      </c>
      <c r="E150" s="297">
        <f t="shared" si="44"/>
        <v>8757.4622641509432</v>
      </c>
      <c r="F150" s="297">
        <f t="shared" si="44"/>
        <v>8614.7679326186826</v>
      </c>
      <c r="G150" s="297">
        <f t="shared" si="44"/>
        <v>8270.3026122270749</v>
      </c>
      <c r="H150" s="297">
        <f t="shared" si="44"/>
        <v>8151.2995362869315</v>
      </c>
      <c r="I150" s="297">
        <f t="shared" si="44"/>
        <v>8232.8125316498008</v>
      </c>
    </row>
    <row r="151" spans="2:9">
      <c r="B151" s="298" t="s">
        <v>367</v>
      </c>
      <c r="C151" s="184">
        <f>IF($B$14,K$53,0)*C136</f>
        <v>4341.0576923076924</v>
      </c>
      <c r="D151" s="184">
        <f t="shared" ref="D151:I151" si="45">IF($B$14,D$53,0)*D136</f>
        <v>7406.5771276595742</v>
      </c>
      <c r="E151" s="184">
        <f t="shared" si="45"/>
        <v>6633.7776650943397</v>
      </c>
      <c r="F151" s="184">
        <f t="shared" si="45"/>
        <v>6525.6867089586522</v>
      </c>
      <c r="G151" s="184">
        <f t="shared" si="45"/>
        <v>6264.7542287620081</v>
      </c>
      <c r="H151" s="184">
        <f t="shared" si="45"/>
        <v>6174.6093987373506</v>
      </c>
      <c r="I151" s="184">
        <f t="shared" si="45"/>
        <v>6236.3554927247233</v>
      </c>
    </row>
    <row r="152" spans="2:9">
      <c r="B152" s="298" t="s">
        <v>70</v>
      </c>
      <c r="C152" s="184">
        <f>IF($B$14,K$54,0)*C136</f>
        <v>4137.2060439560437</v>
      </c>
      <c r="D152" s="184">
        <f t="shared" ref="D152:I152" si="46">IF($B$14,D$54,0)*D136</f>
        <v>7058.7718085106389</v>
      </c>
      <c r="E152" s="184">
        <f t="shared" si="46"/>
        <v>6322.2622216981126</v>
      </c>
      <c r="F152" s="184">
        <f t="shared" si="46"/>
        <v>6219.2471067840734</v>
      </c>
      <c r="G152" s="184">
        <f t="shared" si="46"/>
        <v>5970.5677501270739</v>
      </c>
      <c r="H152" s="184">
        <f t="shared" si="46"/>
        <v>5884.6560295180007</v>
      </c>
      <c r="I152" s="184">
        <f t="shared" si="46"/>
        <v>5943.5025898131807</v>
      </c>
    </row>
    <row r="153" spans="2:9">
      <c r="B153" s="298" t="s">
        <v>368</v>
      </c>
      <c r="C153" s="184">
        <f>IF($B$14,K$55,0)*C136</f>
        <v>6958.7912087912082</v>
      </c>
      <c r="D153" s="184">
        <f t="shared" ref="D153:I153" si="47">IF($B$14,D$55,0)*D136</f>
        <v>11872.872340425532</v>
      </c>
      <c r="E153" s="184">
        <f t="shared" si="47"/>
        <v>10634.061320754718</v>
      </c>
      <c r="F153" s="184">
        <f t="shared" si="47"/>
        <v>10460.789632465545</v>
      </c>
      <c r="G153" s="184">
        <f t="shared" si="47"/>
        <v>10042.510314847163</v>
      </c>
      <c r="H153" s="184">
        <f t="shared" si="47"/>
        <v>9898.0065797769912</v>
      </c>
      <c r="I153" s="184">
        <f t="shared" si="47"/>
        <v>9996.9866455747597</v>
      </c>
    </row>
    <row r="155" spans="2:9" ht="23.25" thickBot="1">
      <c r="B155" s="40" t="s">
        <v>360</v>
      </c>
      <c r="C155" s="41"/>
      <c r="D155" s="41"/>
      <c r="E155" s="41"/>
      <c r="F155" s="41"/>
      <c r="G155" s="41"/>
      <c r="H155" s="41"/>
      <c r="I155" s="41"/>
    </row>
    <row r="156" spans="2:9">
      <c r="B156" s="143" t="s">
        <v>361</v>
      </c>
      <c r="C156" s="144">
        <f>IF($B$14,SharedStaff!C18,0)</f>
        <v>0</v>
      </c>
      <c r="D156" s="144">
        <f>IF($B$14,SharedStaff!D18,0)</f>
        <v>0.30851063829787234</v>
      </c>
      <c r="E156" s="144">
        <f>IF($B$14,SharedStaff!E18,0)</f>
        <v>0.3867924528301887</v>
      </c>
      <c r="F156" s="144">
        <f>IF($B$14,SharedStaff!F18,0)</f>
        <v>0.40275650842266464</v>
      </c>
      <c r="G156" s="144">
        <f>IF($B$14,SharedStaff!G18,0)</f>
        <v>0.43231441048034935</v>
      </c>
      <c r="H156" s="144">
        <f>IF($B$14,SharedStaff!H18,0)</f>
        <v>0.44602272727272729</v>
      </c>
      <c r="I156" s="144">
        <f>IF($B$14,SharedStaff!I18,0)</f>
        <v>0.44602272727272729</v>
      </c>
    </row>
    <row r="157" spans="2:9">
      <c r="B157" s="214" t="s">
        <v>83</v>
      </c>
      <c r="C157" s="297">
        <f>C$45*C156</f>
        <v>0</v>
      </c>
      <c r="D157" s="297">
        <f t="shared" ref="D157:I157" si="48">D$45*D156</f>
        <v>1557.9787234042553</v>
      </c>
      <c r="E157" s="297">
        <f t="shared" si="48"/>
        <v>1972.8349056603774</v>
      </c>
      <c r="F157" s="297">
        <f t="shared" si="48"/>
        <v>2074.8021669218992</v>
      </c>
      <c r="G157" s="297">
        <f t="shared" si="48"/>
        <v>2249.340545633188</v>
      </c>
      <c r="H157" s="297">
        <f t="shared" si="48"/>
        <v>2343.871844683239</v>
      </c>
      <c r="I157" s="297">
        <f t="shared" si="48"/>
        <v>2367.3105631300714</v>
      </c>
    </row>
    <row r="158" spans="2:9">
      <c r="B158" s="214" t="s">
        <v>362</v>
      </c>
      <c r="C158" s="297">
        <f>'Purchase Building'!B76*Facilities!C156</f>
        <v>0</v>
      </c>
      <c r="D158" s="297">
        <f>'Purchase Building'!C76*Facilities!D156</f>
        <v>147566.97634042555</v>
      </c>
      <c r="E158" s="297">
        <f>'Purchase Building'!D76*Facilities!E156</f>
        <v>219324.88164715568</v>
      </c>
      <c r="F158" s="297">
        <f>'Purchase Building'!E76*Facilities!F156</f>
        <v>272760.95786836644</v>
      </c>
      <c r="G158" s="297">
        <f>'Purchase Building'!F76*Facilities!G156</f>
        <v>292778.61496199848</v>
      </c>
      <c r="H158" s="297">
        <f>'Purchase Building'!G76*Facilities!H156</f>
        <v>302062.37212261057</v>
      </c>
      <c r="I158" s="297">
        <f>'Purchase Building'!H76*Facilities!I156</f>
        <v>302062.37212261057</v>
      </c>
    </row>
    <row r="159" spans="2:9">
      <c r="B159" s="214" t="s">
        <v>364</v>
      </c>
      <c r="C159" s="297"/>
      <c r="D159" s="297"/>
      <c r="E159" s="297"/>
      <c r="F159" s="297"/>
      <c r="G159" s="297"/>
      <c r="H159" s="297"/>
      <c r="I159" s="297"/>
    </row>
    <row r="160" spans="2:9">
      <c r="B160" s="214" t="s">
        <v>268</v>
      </c>
      <c r="C160" s="297"/>
      <c r="D160" s="297"/>
      <c r="E160" s="297"/>
      <c r="F160" s="297"/>
      <c r="G160" s="297"/>
      <c r="H160" s="297"/>
      <c r="I160" s="297"/>
    </row>
    <row r="161" spans="2:9">
      <c r="B161" s="214" t="s">
        <v>269</v>
      </c>
      <c r="C161" s="297">
        <v>0</v>
      </c>
      <c r="D161" s="297">
        <v>0</v>
      </c>
      <c r="E161" s="297">
        <v>0</v>
      </c>
      <c r="F161" s="297">
        <v>0</v>
      </c>
      <c r="G161" s="297">
        <v>0</v>
      </c>
      <c r="H161" s="297">
        <v>0</v>
      </c>
      <c r="I161" s="297">
        <v>0</v>
      </c>
    </row>
    <row r="162" spans="2:9">
      <c r="B162" s="214" t="s">
        <v>270</v>
      </c>
      <c r="C162" s="297">
        <f>IF($B$14,0,C$22)*C156</f>
        <v>0</v>
      </c>
      <c r="D162" s="297">
        <f t="shared" ref="D162:I162" si="49">IF($B$14,0,D$22)*D156</f>
        <v>0</v>
      </c>
      <c r="E162" s="297">
        <f t="shared" si="49"/>
        <v>0</v>
      </c>
      <c r="F162" s="297">
        <f t="shared" si="49"/>
        <v>0</v>
      </c>
      <c r="G162" s="297">
        <f t="shared" si="49"/>
        <v>0</v>
      </c>
      <c r="H162" s="297">
        <f t="shared" si="49"/>
        <v>0</v>
      </c>
      <c r="I162" s="297">
        <f t="shared" si="49"/>
        <v>0</v>
      </c>
    </row>
    <row r="163" spans="2:9">
      <c r="B163" s="215" t="s">
        <v>272</v>
      </c>
      <c r="C163" s="297">
        <f>C$40*C156</f>
        <v>0</v>
      </c>
      <c r="D163" s="297">
        <f t="shared" ref="D163:I163" si="50">D$40*D156</f>
        <v>155.79787234042553</v>
      </c>
      <c r="E163" s="297">
        <f t="shared" si="50"/>
        <v>197.28349056603776</v>
      </c>
      <c r="F163" s="297">
        <f t="shared" si="50"/>
        <v>207.48021669218988</v>
      </c>
      <c r="G163" s="297">
        <f t="shared" si="50"/>
        <v>224.9340545633188</v>
      </c>
      <c r="H163" s="297">
        <f t="shared" si="50"/>
        <v>234.38718446832385</v>
      </c>
      <c r="I163" s="297">
        <f t="shared" si="50"/>
        <v>236.73105631300709</v>
      </c>
    </row>
    <row r="164" spans="2:9">
      <c r="B164" s="215" t="s">
        <v>273</v>
      </c>
      <c r="C164" s="297">
        <f>C$42*C156</f>
        <v>0</v>
      </c>
      <c r="D164" s="297">
        <f t="shared" ref="D164:I164" si="51">D$42*D156</f>
        <v>311.59574468085106</v>
      </c>
      <c r="E164" s="297">
        <f t="shared" si="51"/>
        <v>394.56698113207551</v>
      </c>
      <c r="F164" s="297">
        <f t="shared" si="51"/>
        <v>414.96043338437977</v>
      </c>
      <c r="G164" s="297">
        <f t="shared" si="51"/>
        <v>449.86810912663759</v>
      </c>
      <c r="H164" s="297">
        <f t="shared" si="51"/>
        <v>468.7743689366477</v>
      </c>
      <c r="I164" s="297">
        <f t="shared" si="51"/>
        <v>473.46211262601418</v>
      </c>
    </row>
    <row r="165" spans="2:9">
      <c r="B165" s="215" t="s">
        <v>274</v>
      </c>
      <c r="C165" s="297">
        <f>C$43*C156</f>
        <v>0</v>
      </c>
      <c r="D165" s="297">
        <f t="shared" ref="D165:I165" si="52">D$43*D156</f>
        <v>778.98936170212767</v>
      </c>
      <c r="E165" s="297">
        <f t="shared" si="52"/>
        <v>986.41745283018872</v>
      </c>
      <c r="F165" s="297">
        <f t="shared" si="52"/>
        <v>1037.4010834609496</v>
      </c>
      <c r="G165" s="297">
        <f t="shared" si="52"/>
        <v>1124.670272816594</v>
      </c>
      <c r="H165" s="297">
        <f t="shared" si="52"/>
        <v>1171.9359223416195</v>
      </c>
      <c r="I165" s="297">
        <f t="shared" si="52"/>
        <v>1183.6552815650357</v>
      </c>
    </row>
    <row r="166" spans="2:9">
      <c r="B166" s="215" t="s">
        <v>275</v>
      </c>
      <c r="C166" s="297">
        <f>(C$44+IF($B$14,K$52,0))*C156</f>
        <v>0</v>
      </c>
      <c r="D166" s="297">
        <f t="shared" ref="D166:I166" si="53">(D$44+IF($B$14,D$52,0))*D156</f>
        <v>4673.9361702127662</v>
      </c>
      <c r="E166" s="297">
        <f t="shared" si="53"/>
        <v>5918.5047169811323</v>
      </c>
      <c r="F166" s="297">
        <f t="shared" si="53"/>
        <v>6224.4065007656964</v>
      </c>
      <c r="G166" s="297">
        <f t="shared" si="53"/>
        <v>6748.0216368995634</v>
      </c>
      <c r="H166" s="297">
        <f t="shared" si="53"/>
        <v>7031.6155340497162</v>
      </c>
      <c r="I166" s="297">
        <f t="shared" si="53"/>
        <v>7101.9316893902133</v>
      </c>
    </row>
    <row r="167" spans="2:9">
      <c r="B167" s="215" t="s">
        <v>276</v>
      </c>
      <c r="C167" s="297">
        <f>C$41*C156</f>
        <v>0</v>
      </c>
      <c r="D167" s="297">
        <f t="shared" ref="D167:I167" si="54">D$41*D156</f>
        <v>82.261276595744675</v>
      </c>
      <c r="E167" s="297">
        <f t="shared" si="54"/>
        <v>104.16568301886792</v>
      </c>
      <c r="F167" s="297">
        <f t="shared" si="54"/>
        <v>109.54955441347626</v>
      </c>
      <c r="G167" s="297">
        <f t="shared" si="54"/>
        <v>118.76518080943231</v>
      </c>
      <c r="H167" s="297">
        <f t="shared" si="54"/>
        <v>123.75643339927498</v>
      </c>
      <c r="I167" s="297">
        <f t="shared" si="54"/>
        <v>124.99399773326773</v>
      </c>
    </row>
    <row r="168" spans="2:9">
      <c r="B168" s="215" t="s">
        <v>277</v>
      </c>
      <c r="C168" s="297">
        <f>C$46*C156</f>
        <v>0</v>
      </c>
      <c r="D168" s="297">
        <f t="shared" ref="D168:I168" si="55">D$46*D156</f>
        <v>701.09042553191489</v>
      </c>
      <c r="E168" s="297">
        <f t="shared" si="55"/>
        <v>887.77570754716987</v>
      </c>
      <c r="F168" s="297">
        <f t="shared" si="55"/>
        <v>933.66097511485441</v>
      </c>
      <c r="G168" s="297">
        <f t="shared" si="55"/>
        <v>1012.2032455349345</v>
      </c>
      <c r="H168" s="297">
        <f t="shared" si="55"/>
        <v>1054.7423301074573</v>
      </c>
      <c r="I168" s="297">
        <f t="shared" si="55"/>
        <v>1065.2897534085319</v>
      </c>
    </row>
    <row r="169" spans="2:9">
      <c r="B169" s="216" t="s">
        <v>278</v>
      </c>
      <c r="C169" s="297">
        <f>C$36*C156</f>
        <v>0</v>
      </c>
      <c r="D169" s="297">
        <f t="shared" ref="D169:I169" si="56">D$36*D156</f>
        <v>13055.124361702128</v>
      </c>
      <c r="E169" s="297">
        <f t="shared" si="56"/>
        <v>16736.942641509435</v>
      </c>
      <c r="F169" s="297">
        <f t="shared" si="56"/>
        <v>17940.305359877486</v>
      </c>
      <c r="G169" s="297">
        <f t="shared" si="56"/>
        <v>19669.575065502184</v>
      </c>
      <c r="H169" s="297">
        <f t="shared" si="56"/>
        <v>20860.924517045456</v>
      </c>
      <c r="I169" s="297">
        <f t="shared" si="56"/>
        <v>21428.568721590909</v>
      </c>
    </row>
    <row r="170" spans="2:9">
      <c r="B170" s="214" t="s">
        <v>84</v>
      </c>
      <c r="C170" s="297">
        <f>C$47*C156</f>
        <v>0</v>
      </c>
      <c r="D170" s="297">
        <f t="shared" ref="D170:I170" si="57">D$47*D156</f>
        <v>4362.3404255319147</v>
      </c>
      <c r="E170" s="297">
        <f t="shared" si="57"/>
        <v>5523.9377358490565</v>
      </c>
      <c r="F170" s="297">
        <f t="shared" si="57"/>
        <v>5809.4460673813173</v>
      </c>
      <c r="G170" s="297">
        <f t="shared" si="57"/>
        <v>6298.1535277729263</v>
      </c>
      <c r="H170" s="297">
        <f t="shared" si="57"/>
        <v>6562.8411651130682</v>
      </c>
      <c r="I170" s="297">
        <f t="shared" si="57"/>
        <v>6628.4695767641988</v>
      </c>
    </row>
    <row r="171" spans="2:9">
      <c r="B171" s="298" t="s">
        <v>367</v>
      </c>
      <c r="C171" s="184">
        <f>IF($B$14,K$53,0)*C156</f>
        <v>0</v>
      </c>
      <c r="D171" s="184">
        <f t="shared" ref="D171:I171" si="58">IF($B$14,D$53,0)*D156</f>
        <v>3304.4728723404255</v>
      </c>
      <c r="E171" s="184">
        <f t="shared" si="58"/>
        <v>4184.3828349056603</v>
      </c>
      <c r="F171" s="184">
        <f t="shared" si="58"/>
        <v>4400.6553960413476</v>
      </c>
      <c r="G171" s="184">
        <f t="shared" si="58"/>
        <v>4770.8512972879917</v>
      </c>
      <c r="H171" s="184">
        <f t="shared" si="58"/>
        <v>4971.3521825731486</v>
      </c>
      <c r="I171" s="184">
        <f t="shared" si="58"/>
        <v>5021.0657043988804</v>
      </c>
    </row>
    <row r="172" spans="2:9">
      <c r="B172" s="298" t="s">
        <v>70</v>
      </c>
      <c r="C172" s="184">
        <f>IF($B$14,K$54,0)*C156</f>
        <v>0</v>
      </c>
      <c r="D172" s="184">
        <f t="shared" ref="D172:I172" si="59">IF($B$14,D$54,0)*D156</f>
        <v>3149.2981914893617</v>
      </c>
      <c r="E172" s="184">
        <f t="shared" si="59"/>
        <v>3987.8884783018871</v>
      </c>
      <c r="F172" s="184">
        <f t="shared" si="59"/>
        <v>4194.0051002159262</v>
      </c>
      <c r="G172" s="184">
        <f t="shared" si="59"/>
        <v>4546.8169789429257</v>
      </c>
      <c r="H172" s="184">
        <f t="shared" si="59"/>
        <v>4737.9025468426989</v>
      </c>
      <c r="I172" s="184">
        <f t="shared" si="59"/>
        <v>4785.2815723111253</v>
      </c>
    </row>
    <row r="173" spans="2:9">
      <c r="B173" s="298" t="s">
        <v>368</v>
      </c>
      <c r="C173" s="184">
        <f>IF($B$14,K$55,0)*C156</f>
        <v>0</v>
      </c>
      <c r="D173" s="184">
        <f t="shared" ref="D173:I173" si="60">IF($B$14,D$55,0)*D156</f>
        <v>5297.1276595744685</v>
      </c>
      <c r="E173" s="184">
        <f t="shared" si="60"/>
        <v>6707.638679245284</v>
      </c>
      <c r="F173" s="184">
        <f t="shared" si="60"/>
        <v>7054.3273675344572</v>
      </c>
      <c r="G173" s="184">
        <f t="shared" si="60"/>
        <v>7647.7578551528395</v>
      </c>
      <c r="H173" s="184">
        <f t="shared" si="60"/>
        <v>7969.164271923014</v>
      </c>
      <c r="I173" s="184">
        <f t="shared" si="60"/>
        <v>8048.8559146422431</v>
      </c>
    </row>
  </sheetData>
  <sheetProtection password="DF03" sheet="1" objects="1" scenarios="1"/>
  <mergeCells count="23">
    <mergeCell ref="B13:I13"/>
    <mergeCell ref="B16:I16"/>
    <mergeCell ref="A81:B81"/>
    <mergeCell ref="B50:I50"/>
    <mergeCell ref="B24:I24"/>
    <mergeCell ref="B31:I31"/>
    <mergeCell ref="C14:I14"/>
    <mergeCell ref="B38:I38"/>
    <mergeCell ref="A59:B59"/>
    <mergeCell ref="A60:B60"/>
    <mergeCell ref="A61:B61"/>
    <mergeCell ref="A69:B69"/>
    <mergeCell ref="A70:B70"/>
    <mergeCell ref="A71:B71"/>
    <mergeCell ref="A74:B74"/>
    <mergeCell ref="A64:B64"/>
    <mergeCell ref="K50:K51"/>
    <mergeCell ref="A75:B75"/>
    <mergeCell ref="A76:B76"/>
    <mergeCell ref="A79:B79"/>
    <mergeCell ref="A80:B80"/>
    <mergeCell ref="A65:B65"/>
    <mergeCell ref="A66:B66"/>
  </mergeCells>
  <pageMargins left="0.5" right="0.5" top="0.5" bottom="0.5" header="0.3" footer="0.3"/>
  <pageSetup orientation="landscape" horizontalDpi="4294967293" verticalDpi="1200" r:id="rId1"/>
  <headerFooter>
    <oddFooter>&amp;LFacilities Cost Estimate &amp;CPinellas Preparatory Academy, Inc.&amp;RPage &amp;P or &amp;N</oddFooter>
  </headerFooter>
  <rowBreaks count="2" manualBreakCount="2">
    <brk id="37" max="8" man="1"/>
    <brk id="15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59"/>
  <sheetViews>
    <sheetView showGridLines="0" view="pageLayout" zoomScale="85" zoomScaleNormal="100" zoomScalePageLayoutView="85" workbookViewId="0"/>
  </sheetViews>
  <sheetFormatPr defaultRowHeight="12.75"/>
  <cols>
    <col min="1" max="1" width="14" style="26" bestFit="1" customWidth="1"/>
    <col min="2" max="9" width="12.85546875" style="26" customWidth="1"/>
    <col min="10" max="12" width="11.85546875" style="26" bestFit="1" customWidth="1"/>
    <col min="13" max="13" width="11.28515625" style="26" bestFit="1" customWidth="1"/>
    <col min="14" max="14" width="10" style="26" bestFit="1" customWidth="1"/>
    <col min="15" max="15" width="8.7109375" style="26" bestFit="1" customWidth="1"/>
    <col min="16" max="16" width="9.7109375" style="26" bestFit="1" customWidth="1"/>
    <col min="17" max="17" width="8.28515625" style="26" bestFit="1" customWidth="1"/>
    <col min="18" max="18" width="8.7109375" style="26" bestFit="1" customWidth="1"/>
    <col min="19" max="16384" width="9.140625" style="26"/>
  </cols>
  <sheetData>
    <row r="1" spans="1:11" ht="27">
      <c r="A1" s="295" t="s">
        <v>205</v>
      </c>
      <c r="B1" s="295"/>
      <c r="C1" s="295"/>
      <c r="D1" s="295"/>
      <c r="E1" s="295"/>
      <c r="F1" s="295"/>
      <c r="G1" s="295"/>
      <c r="H1" s="295"/>
      <c r="I1" s="295"/>
    </row>
    <row r="2" spans="1:11">
      <c r="B2" s="27" t="s">
        <v>42</v>
      </c>
      <c r="J2" s="28"/>
      <c r="K2" s="29"/>
    </row>
    <row r="3" spans="1:11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J3" s="28"/>
      <c r="K3" s="29"/>
    </row>
    <row r="4" spans="1:11">
      <c r="B4" s="194" t="s">
        <v>468</v>
      </c>
      <c r="C4" s="197">
        <f>Combined!B10</f>
        <v>2481454.04</v>
      </c>
      <c r="D4" s="197">
        <f>Combined!C10</f>
        <v>2466474.1088</v>
      </c>
      <c r="E4" s="197">
        <f>Combined!D10</f>
        <v>2475847.8210960003</v>
      </c>
      <c r="F4" s="197">
        <f>Combined!E10</f>
        <v>2486553.00881832</v>
      </c>
      <c r="G4" s="197">
        <f>Combined!F10</f>
        <v>2498243.7596569546</v>
      </c>
      <c r="H4" s="197">
        <f>Combined!G10</f>
        <v>2511101.2403439395</v>
      </c>
      <c r="I4" s="197">
        <f>Combined!H10</f>
        <v>2525053.1323905606</v>
      </c>
      <c r="J4" s="28"/>
      <c r="K4" s="29"/>
    </row>
    <row r="5" spans="1:11" ht="13.5" thickBot="1">
      <c r="B5" s="195" t="s">
        <v>469</v>
      </c>
      <c r="C5" s="165">
        <f>Combined!B11</f>
        <v>2491374.6587593649</v>
      </c>
      <c r="D5" s="165">
        <f>Combined!C11</f>
        <v>2454934.7158448631</v>
      </c>
      <c r="E5" s="165">
        <f>Combined!D11</f>
        <v>2473483.6744637955</v>
      </c>
      <c r="F5" s="165">
        <f>Combined!E11</f>
        <v>2572276.0881462907</v>
      </c>
      <c r="G5" s="165">
        <f>Combined!F11</f>
        <v>2577950.2565252045</v>
      </c>
      <c r="H5" s="165">
        <f>Combined!G11</f>
        <v>2564082.7580324328</v>
      </c>
      <c r="I5" s="165">
        <f>Combined!H11</f>
        <v>2601360.873841804</v>
      </c>
      <c r="J5" s="28"/>
      <c r="K5" s="29"/>
    </row>
    <row r="6" spans="1:11" ht="13.5" thickBot="1">
      <c r="B6" s="166" t="s">
        <v>470</v>
      </c>
      <c r="C6" s="167">
        <f>Combined!B12</f>
        <v>-9920.618759364821</v>
      </c>
      <c r="D6" s="167">
        <f>Combined!C12</f>
        <v>11539.392955136951</v>
      </c>
      <c r="E6" s="167">
        <f>Combined!D12</f>
        <v>2364.1466322047636</v>
      </c>
      <c r="F6" s="167">
        <f>Combined!E12</f>
        <v>-85723.079327970743</v>
      </c>
      <c r="G6" s="167">
        <f>Combined!F12</f>
        <v>-79706.49686824996</v>
      </c>
      <c r="H6" s="167">
        <f>Combined!G12</f>
        <v>-52981.517688493244</v>
      </c>
      <c r="I6" s="167">
        <f>Combined!H12</f>
        <v>-76307.741451243404</v>
      </c>
      <c r="J6" s="28"/>
      <c r="K6" s="29"/>
    </row>
    <row r="7" spans="1:11" ht="13.5" thickTop="1">
      <c r="B7" s="194" t="s">
        <v>472</v>
      </c>
      <c r="C7" s="197">
        <f>Combined!B5</f>
        <v>0</v>
      </c>
      <c r="D7" s="197">
        <f>Combined!C5</f>
        <v>1252328.7231999999</v>
      </c>
      <c r="E7" s="197">
        <f>Combined!D5</f>
        <v>1781024.786176</v>
      </c>
      <c r="F7" s="197">
        <f>Combined!E5</f>
        <v>1915060.8153737602</v>
      </c>
      <c r="G7" s="197">
        <f>Combined!F5</f>
        <v>2174233.4414608451</v>
      </c>
      <c r="H7" s="197">
        <f>Combined!G5</f>
        <v>2312229.8141044201</v>
      </c>
      <c r="I7" s="197">
        <f>Combined!H5</f>
        <v>2327082.1454618643</v>
      </c>
      <c r="J7" s="28"/>
      <c r="K7" s="29"/>
    </row>
    <row r="8" spans="1:11" ht="13.5" thickBot="1">
      <c r="B8" s="195" t="s">
        <v>473</v>
      </c>
      <c r="C8" s="165">
        <f>Combined!B6</f>
        <v>15745.9</v>
      </c>
      <c r="D8" s="165">
        <f>Combined!C6</f>
        <v>1324448.1186986249</v>
      </c>
      <c r="E8" s="165">
        <f>Combined!D6</f>
        <v>1699782.3793936544</v>
      </c>
      <c r="F8" s="165">
        <f>Combined!E6</f>
        <v>1845775.9388543332</v>
      </c>
      <c r="G8" s="165">
        <f>Combined!F6</f>
        <v>2108593.5856019137</v>
      </c>
      <c r="H8" s="165">
        <f>Combined!G6</f>
        <v>2216548.3861227771</v>
      </c>
      <c r="I8" s="165">
        <f>Combined!H6</f>
        <v>2276941.2047650977</v>
      </c>
      <c r="J8" s="28"/>
      <c r="K8" s="29"/>
    </row>
    <row r="9" spans="1:11" ht="13.5" thickBot="1">
      <c r="B9" s="166" t="s">
        <v>474</v>
      </c>
      <c r="C9" s="167">
        <f>Combined!B7</f>
        <v>-15745.9</v>
      </c>
      <c r="D9" s="167">
        <f>Combined!C7</f>
        <v>-72119.395498625003</v>
      </c>
      <c r="E9" s="167">
        <f>Combined!D7</f>
        <v>81242.406782345613</v>
      </c>
      <c r="F9" s="167">
        <f>Combined!E7</f>
        <v>69284.876519426936</v>
      </c>
      <c r="G9" s="167">
        <f>Combined!F7</f>
        <v>65639.855858931318</v>
      </c>
      <c r="H9" s="167">
        <f>Combined!G7</f>
        <v>95681.427981643006</v>
      </c>
      <c r="I9" s="167">
        <f>Combined!H7</f>
        <v>50140.9406967666</v>
      </c>
      <c r="J9" s="28"/>
      <c r="K9" s="29"/>
    </row>
    <row r="10" spans="1:11" ht="13.5" thickTop="1">
      <c r="B10" s="168" t="s">
        <v>471</v>
      </c>
      <c r="C10" s="169">
        <f>Combined!B28</f>
        <v>635.36344863520935</v>
      </c>
      <c r="D10" s="169">
        <f>Combined!C28</f>
        <v>4088.3836645120755</v>
      </c>
      <c r="E10" s="169">
        <f>Combined!D28</f>
        <v>159558.14362255018</v>
      </c>
      <c r="F10" s="169">
        <f>Combined!E28</f>
        <v>58755.307399456389</v>
      </c>
      <c r="G10" s="169">
        <f>Combined!F28</f>
        <v>71968.6691986816</v>
      </c>
      <c r="H10" s="169">
        <f>Combined!G28</f>
        <v>132388.22050115</v>
      </c>
      <c r="I10" s="169">
        <f>Combined!H28</f>
        <v>63737.509453523904</v>
      </c>
      <c r="J10" s="28"/>
      <c r="K10" s="29"/>
    </row>
    <row r="12" spans="1:11" ht="23.25" thickBot="1">
      <c r="A12" s="34" t="s">
        <v>43</v>
      </c>
      <c r="B12" s="35"/>
      <c r="C12" s="35"/>
      <c r="D12" s="35"/>
      <c r="E12" s="35"/>
      <c r="F12" s="35"/>
      <c r="G12" s="35"/>
      <c r="H12" s="35"/>
      <c r="I12" s="35"/>
    </row>
    <row r="13" spans="1:11">
      <c r="B13" s="193" t="s">
        <v>45</v>
      </c>
      <c r="C13" s="192" t="s">
        <v>22</v>
      </c>
      <c r="D13" s="192" t="s">
        <v>98</v>
      </c>
      <c r="E13" s="192" t="s">
        <v>99</v>
      </c>
      <c r="F13" s="192" t="s">
        <v>100</v>
      </c>
      <c r="G13" s="192" t="s">
        <v>101</v>
      </c>
      <c r="H13" s="192" t="s">
        <v>102</v>
      </c>
      <c r="I13" s="192" t="s">
        <v>103</v>
      </c>
    </row>
    <row r="14" spans="1:11">
      <c r="B14" s="194" t="s">
        <v>50</v>
      </c>
      <c r="C14" s="238">
        <f>'PPA-Staff'!C27</f>
        <v>390</v>
      </c>
      <c r="D14" s="238">
        <f>'PPA-Staff'!D27</f>
        <v>390</v>
      </c>
      <c r="E14" s="238">
        <f>'PPA-Staff'!E27</f>
        <v>390</v>
      </c>
      <c r="F14" s="238">
        <f>'PPA-Staff'!F27</f>
        <v>390</v>
      </c>
      <c r="G14" s="238">
        <f>'PPA-Staff'!G27</f>
        <v>390</v>
      </c>
      <c r="H14" s="238">
        <f>'PPA-Staff'!H27</f>
        <v>390</v>
      </c>
      <c r="I14" s="238">
        <f>'PPA-Staff'!I27</f>
        <v>390</v>
      </c>
    </row>
    <row r="15" spans="1:11">
      <c r="B15" s="194" t="s">
        <v>144</v>
      </c>
      <c r="C15" s="238">
        <f>'PPAJr-Staff'!C29</f>
        <v>0</v>
      </c>
      <c r="D15" s="238">
        <f>'PPAJr-Staff'!D29</f>
        <v>174</v>
      </c>
      <c r="E15" s="238">
        <f>'PPAJr-Staff'!E29</f>
        <v>246</v>
      </c>
      <c r="F15" s="238">
        <f>'PPAJr-Staff'!F29</f>
        <v>263</v>
      </c>
      <c r="G15" s="238">
        <f>'PPAJr-Staff'!G29</f>
        <v>297</v>
      </c>
      <c r="H15" s="238">
        <f>'PPAJr-Staff'!H29</f>
        <v>314</v>
      </c>
      <c r="I15" s="238">
        <f>'PPAJr-Staff'!I29</f>
        <v>314</v>
      </c>
    </row>
    <row r="16" spans="1:11" ht="6.75" customHeight="1">
      <c r="C16" s="265"/>
      <c r="D16" s="248"/>
      <c r="E16" s="248"/>
      <c r="F16" s="248"/>
      <c r="G16" s="248"/>
      <c r="H16" s="248"/>
      <c r="I16" s="248"/>
    </row>
    <row r="17" spans="1:9">
      <c r="B17" s="194" t="s">
        <v>146</v>
      </c>
      <c r="C17" s="69">
        <f>C14/(C$14+C$15)</f>
        <v>1</v>
      </c>
      <c r="D17" s="69">
        <f t="shared" ref="D17:I18" si="0">D14/(D$14+D$15)</f>
        <v>0.69148936170212771</v>
      </c>
      <c r="E17" s="69">
        <f t="shared" si="0"/>
        <v>0.6132075471698113</v>
      </c>
      <c r="F17" s="69">
        <f t="shared" si="0"/>
        <v>0.59724349157733536</v>
      </c>
      <c r="G17" s="69">
        <f t="shared" si="0"/>
        <v>0.56768558951965065</v>
      </c>
      <c r="H17" s="69">
        <f t="shared" si="0"/>
        <v>0.55397727272727271</v>
      </c>
      <c r="I17" s="69">
        <f t="shared" si="0"/>
        <v>0.55397727272727271</v>
      </c>
    </row>
    <row r="18" spans="1:9">
      <c r="B18" s="194" t="s">
        <v>145</v>
      </c>
      <c r="C18" s="69">
        <f>C15/(C$14+C$15)</f>
        <v>0</v>
      </c>
      <c r="D18" s="69">
        <f t="shared" si="0"/>
        <v>0.30851063829787234</v>
      </c>
      <c r="E18" s="69">
        <f t="shared" si="0"/>
        <v>0.3867924528301887</v>
      </c>
      <c r="F18" s="69">
        <f t="shared" si="0"/>
        <v>0.40275650842266464</v>
      </c>
      <c r="G18" s="69">
        <f t="shared" si="0"/>
        <v>0.43231441048034935</v>
      </c>
      <c r="H18" s="69">
        <f t="shared" si="0"/>
        <v>0.44602272727272729</v>
      </c>
      <c r="I18" s="69">
        <f t="shared" si="0"/>
        <v>0.44602272727272729</v>
      </c>
    </row>
    <row r="19" spans="1:9">
      <c r="C19" s="27"/>
    </row>
    <row r="20" spans="1:9">
      <c r="C20" s="27"/>
    </row>
    <row r="21" spans="1:9" ht="23.25" thickBot="1">
      <c r="B21" s="40" t="s">
        <v>147</v>
      </c>
      <c r="C21" s="41"/>
      <c r="D21" s="41"/>
      <c r="E21" s="41"/>
      <c r="F21" s="41"/>
      <c r="G21" s="41"/>
      <c r="H21" s="41"/>
      <c r="I21" s="41"/>
    </row>
    <row r="22" spans="1:9">
      <c r="B22" s="54"/>
      <c r="C22" s="192" t="s">
        <v>22</v>
      </c>
      <c r="D22" s="192" t="s">
        <v>98</v>
      </c>
      <c r="E22" s="192" t="s">
        <v>99</v>
      </c>
      <c r="F22" s="192" t="s">
        <v>100</v>
      </c>
      <c r="G22" s="192" t="s">
        <v>101</v>
      </c>
      <c r="H22" s="192" t="s">
        <v>102</v>
      </c>
      <c r="I22" s="192" t="s">
        <v>103</v>
      </c>
    </row>
    <row r="23" spans="1:9">
      <c r="A23" s="400" t="s">
        <v>148</v>
      </c>
      <c r="B23" s="400"/>
      <c r="C23" s="73">
        <f>'PPA-Staff'!C45</f>
        <v>0</v>
      </c>
      <c r="D23" s="73">
        <f>'PPA-Staff'!D45</f>
        <v>5.3619302949061663E-3</v>
      </c>
      <c r="E23" s="73">
        <f>'PPA-Staff'!E45</f>
        <v>5.3333333333333332E-3</v>
      </c>
      <c r="F23" s="73">
        <f>'PPA-Staff'!F45</f>
        <v>5.3050397877984082E-3</v>
      </c>
      <c r="G23" s="73">
        <f>'PPA-Staff'!G45</f>
        <v>5.2770448548812663E-3</v>
      </c>
      <c r="H23" s="73">
        <f>'PPA-Staff'!H45</f>
        <v>5.2493438320209973E-3</v>
      </c>
      <c r="I23" s="73">
        <f>'PPA-Staff'!I45</f>
        <v>5.2219321148825066E-3</v>
      </c>
    </row>
    <row r="24" spans="1:9" ht="6.75" customHeight="1">
      <c r="B24" s="401"/>
      <c r="C24" s="401"/>
      <c r="D24" s="401"/>
      <c r="E24" s="401"/>
      <c r="F24" s="401"/>
      <c r="G24" s="401"/>
      <c r="H24" s="401"/>
      <c r="I24" s="401"/>
    </row>
    <row r="25" spans="1:9">
      <c r="A25" s="72" t="s">
        <v>142</v>
      </c>
      <c r="B25" s="401"/>
      <c r="C25" s="401"/>
      <c r="D25" s="401"/>
      <c r="E25" s="401"/>
      <c r="F25" s="401"/>
      <c r="G25" s="401"/>
      <c r="H25" s="401"/>
      <c r="I25" s="401"/>
    </row>
    <row r="26" spans="1:9">
      <c r="A26" s="400" t="s">
        <v>149</v>
      </c>
      <c r="B26" s="400"/>
      <c r="C26" s="62">
        <f>'PPA-Staff'!C64</f>
        <v>73075.200000000012</v>
      </c>
      <c r="D26" s="62">
        <v>76753.351206434323</v>
      </c>
      <c r="E26" s="62">
        <f>D26+(D26*E23)</f>
        <v>77162.702412868646</v>
      </c>
      <c r="F26" s="62">
        <f>E26+(E26*F23)</f>
        <v>77572.053619302969</v>
      </c>
      <c r="G26" s="62">
        <f>F26+(F26*G23)</f>
        <v>77981.404825737292</v>
      </c>
      <c r="H26" s="62">
        <f>G26+(G26*H23)</f>
        <v>78390.756032171616</v>
      </c>
      <c r="I26" s="62">
        <f>H26+(H26*I23)</f>
        <v>78800.107238605939</v>
      </c>
    </row>
    <row r="27" spans="1:9">
      <c r="A27" s="400" t="s">
        <v>139</v>
      </c>
      <c r="B27" s="400"/>
      <c r="C27" s="71">
        <v>0.2</v>
      </c>
      <c r="D27" s="71">
        <v>1</v>
      </c>
      <c r="E27" s="71">
        <v>1</v>
      </c>
      <c r="F27" s="71">
        <v>1</v>
      </c>
      <c r="G27" s="71">
        <v>1</v>
      </c>
      <c r="H27" s="71">
        <v>1</v>
      </c>
      <c r="I27" s="71">
        <v>1</v>
      </c>
    </row>
    <row r="28" spans="1:9" ht="6.75" customHeight="1">
      <c r="B28" s="401"/>
      <c r="C28" s="401"/>
      <c r="D28" s="401"/>
      <c r="E28" s="401"/>
      <c r="F28" s="401"/>
      <c r="G28" s="401"/>
      <c r="H28" s="401"/>
      <c r="I28" s="401"/>
    </row>
    <row r="29" spans="1:9">
      <c r="A29" s="400" t="s">
        <v>150</v>
      </c>
      <c r="B29" s="400"/>
      <c r="C29" s="58">
        <f>'Salary Schedules'!E97</f>
        <v>40994.134615384617</v>
      </c>
      <c r="D29" s="58">
        <f>'Salary Schedules'!F97</f>
        <v>41668.269230769234</v>
      </c>
      <c r="E29" s="58">
        <f>'Salary Schedules'!G97</f>
        <v>42557.5</v>
      </c>
      <c r="F29" s="58">
        <f>'Salary Schedules'!H97</f>
        <v>43410.076923076922</v>
      </c>
      <c r="G29" s="58">
        <f>'Salary Schedules'!I97</f>
        <v>44320.557692307695</v>
      </c>
      <c r="H29" s="58">
        <f>'Salary Schedules'!J97</f>
        <v>45267.653846153844</v>
      </c>
      <c r="I29" s="58">
        <f>'Salary Schedules'!K97</f>
        <v>46170.384615384617</v>
      </c>
    </row>
    <row r="30" spans="1:9">
      <c r="A30" s="400" t="s">
        <v>151</v>
      </c>
      <c r="B30" s="400"/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</row>
    <row r="31" spans="1:9" ht="6.75" customHeight="1">
      <c r="B31" s="401"/>
      <c r="C31" s="401"/>
      <c r="D31" s="401"/>
      <c r="E31" s="401"/>
      <c r="F31" s="401"/>
      <c r="G31" s="401"/>
      <c r="H31" s="401"/>
      <c r="I31" s="401"/>
    </row>
    <row r="32" spans="1:9">
      <c r="A32" s="400" t="s">
        <v>153</v>
      </c>
      <c r="B32" s="400"/>
      <c r="C32" s="58">
        <f>'Salary Schedules'!E97</f>
        <v>40994.134615384617</v>
      </c>
      <c r="D32" s="58">
        <f>'Salary Schedules'!F97</f>
        <v>41668.269230769234</v>
      </c>
      <c r="E32" s="58">
        <f>'Salary Schedules'!G97</f>
        <v>42557.5</v>
      </c>
      <c r="F32" s="58">
        <f>'Salary Schedules'!H97</f>
        <v>43410.076923076922</v>
      </c>
      <c r="G32" s="58">
        <f>'Salary Schedules'!I97</f>
        <v>44320.557692307695</v>
      </c>
      <c r="H32" s="58">
        <f>'Salary Schedules'!J97</f>
        <v>45267.653846153844</v>
      </c>
      <c r="I32" s="58">
        <f>'Salary Schedules'!K97</f>
        <v>46170.384615384617</v>
      </c>
    </row>
    <row r="33" spans="1:9">
      <c r="A33" s="400" t="s">
        <v>154</v>
      </c>
      <c r="B33" s="400"/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</row>
    <row r="34" spans="1:9" ht="6.75" customHeight="1">
      <c r="B34" s="401"/>
      <c r="C34" s="401"/>
      <c r="D34" s="401"/>
      <c r="E34" s="401"/>
      <c r="F34" s="401"/>
      <c r="G34" s="401"/>
      <c r="H34" s="401"/>
      <c r="I34" s="401"/>
    </row>
    <row r="35" spans="1:9">
      <c r="A35" s="400" t="s">
        <v>180</v>
      </c>
      <c r="B35" s="400"/>
      <c r="C35" s="58">
        <f>'Salary Schedules'!E97</f>
        <v>40994.134615384617</v>
      </c>
      <c r="D35" s="58">
        <f>'Salary Schedules'!F97</f>
        <v>41668.269230769234</v>
      </c>
      <c r="E35" s="58">
        <f>'Salary Schedules'!G97</f>
        <v>42557.5</v>
      </c>
      <c r="F35" s="58">
        <f>'Salary Schedules'!H97</f>
        <v>43410.076923076922</v>
      </c>
      <c r="G35" s="58">
        <f>'Salary Schedules'!I97</f>
        <v>44320.557692307695</v>
      </c>
      <c r="H35" s="58">
        <f>'Salary Schedules'!J97</f>
        <v>45267.653846153844</v>
      </c>
      <c r="I35" s="58">
        <f>'Salary Schedules'!K97</f>
        <v>46170.384615384617</v>
      </c>
    </row>
    <row r="36" spans="1:9">
      <c r="A36" s="400" t="s">
        <v>181</v>
      </c>
      <c r="B36" s="400"/>
      <c r="C36" s="71">
        <v>0</v>
      </c>
      <c r="D36" s="71">
        <v>0.5</v>
      </c>
      <c r="E36" s="71">
        <v>0.5</v>
      </c>
      <c r="F36" s="71">
        <v>0</v>
      </c>
      <c r="G36" s="71">
        <v>0</v>
      </c>
      <c r="H36" s="71">
        <v>0</v>
      </c>
      <c r="I36" s="71">
        <v>0</v>
      </c>
    </row>
    <row r="37" spans="1:9" ht="6.75" customHeight="1">
      <c r="B37" s="401"/>
      <c r="C37" s="401"/>
      <c r="D37" s="401"/>
      <c r="E37" s="401"/>
      <c r="F37" s="401"/>
      <c r="G37" s="401"/>
      <c r="H37" s="401"/>
      <c r="I37" s="401"/>
    </row>
    <row r="38" spans="1:9">
      <c r="A38" s="403" t="s">
        <v>178</v>
      </c>
      <c r="B38" s="403"/>
      <c r="C38" s="58">
        <f>'Salary Schedules'!E103</f>
        <v>0</v>
      </c>
      <c r="D38" s="58">
        <f>'Salary Schedules'!F103</f>
        <v>0</v>
      </c>
      <c r="E38" s="58">
        <f>'Salary Schedules'!G103</f>
        <v>0</v>
      </c>
      <c r="F38" s="58">
        <f>'Salary Schedules'!H103</f>
        <v>0</v>
      </c>
      <c r="G38" s="58">
        <f>'Salary Schedules'!I103</f>
        <v>0</v>
      </c>
      <c r="H38" s="58">
        <f>'Salary Schedules'!J103</f>
        <v>0</v>
      </c>
      <c r="I38" s="58">
        <f>'Salary Schedules'!K103</f>
        <v>0</v>
      </c>
    </row>
    <row r="39" spans="1:9">
      <c r="A39" s="403" t="s">
        <v>156</v>
      </c>
      <c r="B39" s="403"/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</row>
    <row r="40" spans="1:9" ht="6.75" customHeight="1">
      <c r="B40" s="401"/>
      <c r="C40" s="401"/>
      <c r="D40" s="401"/>
      <c r="E40" s="401"/>
      <c r="F40" s="401"/>
      <c r="G40" s="401"/>
      <c r="H40" s="401"/>
      <c r="I40" s="401"/>
    </row>
    <row r="41" spans="1:9">
      <c r="A41" s="403" t="s">
        <v>179</v>
      </c>
      <c r="B41" s="403"/>
      <c r="C41" s="58">
        <f>'Salary Schedules'!E97</f>
        <v>40994.134615384617</v>
      </c>
      <c r="D41" s="58">
        <f>'Salary Schedules'!F97</f>
        <v>41668.269230769234</v>
      </c>
      <c r="E41" s="58">
        <f>'Salary Schedules'!G97</f>
        <v>42557.5</v>
      </c>
      <c r="F41" s="58">
        <f>'Salary Schedules'!H97</f>
        <v>43410.076923076922</v>
      </c>
      <c r="G41" s="58">
        <f>'Salary Schedules'!I97</f>
        <v>44320.557692307695</v>
      </c>
      <c r="H41" s="58">
        <f>'Salary Schedules'!J97</f>
        <v>45267.653846153844</v>
      </c>
      <c r="I41" s="58">
        <f>'Salary Schedules'!K97</f>
        <v>46170.384615384617</v>
      </c>
    </row>
    <row r="42" spans="1:9">
      <c r="A42" s="403" t="s">
        <v>156</v>
      </c>
      <c r="B42" s="403"/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</row>
    <row r="43" spans="1:9" ht="6.75" customHeight="1">
      <c r="B43" s="401"/>
      <c r="C43" s="401"/>
      <c r="D43" s="401"/>
      <c r="E43" s="401"/>
      <c r="F43" s="401"/>
      <c r="G43" s="401"/>
      <c r="H43" s="401"/>
      <c r="I43" s="401"/>
    </row>
    <row r="44" spans="1:9">
      <c r="A44" s="72" t="s">
        <v>143</v>
      </c>
      <c r="B44" s="401"/>
      <c r="C44" s="401"/>
      <c r="D44" s="401"/>
      <c r="E44" s="401"/>
      <c r="F44" s="401"/>
      <c r="G44" s="401"/>
      <c r="H44" s="401"/>
      <c r="I44" s="401"/>
    </row>
    <row r="45" spans="1:9">
      <c r="A45" s="400" t="s">
        <v>56</v>
      </c>
      <c r="B45" s="400"/>
      <c r="C45" s="58">
        <v>18.45</v>
      </c>
      <c r="D45" s="58">
        <f t="shared" ref="D45:I45" si="1">C45+(C45*D23)</f>
        <v>18.548927613941018</v>
      </c>
      <c r="E45" s="58">
        <f t="shared" si="1"/>
        <v>18.647855227882037</v>
      </c>
      <c r="F45" s="58">
        <f t="shared" si="1"/>
        <v>18.746782841823055</v>
      </c>
      <c r="G45" s="58">
        <f t="shared" si="1"/>
        <v>18.845710455764074</v>
      </c>
      <c r="H45" s="58">
        <f t="shared" si="1"/>
        <v>18.944638069705093</v>
      </c>
      <c r="I45" s="58">
        <f t="shared" si="1"/>
        <v>19.043565683646111</v>
      </c>
    </row>
    <row r="46" spans="1:9">
      <c r="A46" s="400" t="s">
        <v>173</v>
      </c>
      <c r="B46" s="400"/>
      <c r="C46" s="83">
        <v>261</v>
      </c>
      <c r="D46" s="83">
        <v>261</v>
      </c>
      <c r="E46" s="83">
        <v>261</v>
      </c>
      <c r="F46" s="83">
        <v>261</v>
      </c>
      <c r="G46" s="83">
        <v>261</v>
      </c>
      <c r="H46" s="83">
        <v>261</v>
      </c>
      <c r="I46" s="83">
        <v>261</v>
      </c>
    </row>
    <row r="47" spans="1:9">
      <c r="A47" s="400" t="s">
        <v>174</v>
      </c>
      <c r="B47" s="400"/>
      <c r="C47" s="71">
        <v>8</v>
      </c>
      <c r="D47" s="71">
        <v>8</v>
      </c>
      <c r="E47" s="71">
        <v>8</v>
      </c>
      <c r="F47" s="71">
        <v>8</v>
      </c>
      <c r="G47" s="71">
        <v>8</v>
      </c>
      <c r="H47" s="71">
        <v>8</v>
      </c>
      <c r="I47" s="71">
        <v>8</v>
      </c>
    </row>
    <row r="48" spans="1:9" ht="6.75" customHeight="1">
      <c r="B48" s="401"/>
      <c r="C48" s="401"/>
      <c r="D48" s="401"/>
      <c r="E48" s="401"/>
      <c r="F48" s="401"/>
      <c r="G48" s="401"/>
      <c r="H48" s="401"/>
      <c r="I48" s="401"/>
    </row>
    <row r="49" spans="1:9">
      <c r="A49" s="400" t="s">
        <v>152</v>
      </c>
      <c r="B49" s="400"/>
      <c r="C49" s="58">
        <v>15.57</v>
      </c>
      <c r="D49" s="58">
        <f t="shared" ref="D49:I49" si="2">C49+(C49*D23)</f>
        <v>15.65348525469169</v>
      </c>
      <c r="E49" s="58">
        <f t="shared" si="2"/>
        <v>15.736970509383379</v>
      </c>
      <c r="F49" s="58">
        <f t="shared" si="2"/>
        <v>15.820455764075069</v>
      </c>
      <c r="G49" s="58">
        <f t="shared" si="2"/>
        <v>15.903941018766758</v>
      </c>
      <c r="H49" s="58">
        <f t="shared" si="2"/>
        <v>15.987426273458448</v>
      </c>
      <c r="I49" s="58">
        <f t="shared" si="2"/>
        <v>16.070911528150138</v>
      </c>
    </row>
    <row r="50" spans="1:9">
      <c r="A50" s="400" t="s">
        <v>171</v>
      </c>
      <c r="B50" s="400"/>
      <c r="C50" s="83">
        <v>261</v>
      </c>
      <c r="D50" s="83">
        <v>261</v>
      </c>
      <c r="E50" s="83">
        <v>261</v>
      </c>
      <c r="F50" s="83">
        <v>261</v>
      </c>
      <c r="G50" s="83">
        <v>261</v>
      </c>
      <c r="H50" s="83">
        <v>261</v>
      </c>
      <c r="I50" s="83">
        <v>261</v>
      </c>
    </row>
    <row r="51" spans="1:9">
      <c r="A51" s="400" t="s">
        <v>172</v>
      </c>
      <c r="B51" s="400"/>
      <c r="C51" s="71">
        <v>8</v>
      </c>
      <c r="D51" s="71">
        <v>8</v>
      </c>
      <c r="E51" s="71">
        <v>8</v>
      </c>
      <c r="F51" s="71">
        <v>8</v>
      </c>
      <c r="G51" s="71">
        <v>8</v>
      </c>
      <c r="H51" s="71">
        <v>8</v>
      </c>
      <c r="I51" s="71">
        <v>8</v>
      </c>
    </row>
    <row r="52" spans="1:9" ht="6.75" customHeight="1">
      <c r="B52" s="401"/>
      <c r="C52" s="401"/>
      <c r="D52" s="401"/>
      <c r="E52" s="401"/>
      <c r="F52" s="401"/>
      <c r="G52" s="401"/>
      <c r="H52" s="401"/>
      <c r="I52" s="401"/>
    </row>
    <row r="53" spans="1:9">
      <c r="A53" s="400" t="s">
        <v>141</v>
      </c>
      <c r="B53" s="400"/>
      <c r="C53" s="58">
        <f>'PPA-Staff'!C72</f>
        <v>11.63</v>
      </c>
      <c r="D53" s="58">
        <f>'PPA-Staff'!D72</f>
        <v>11.69235924932976</v>
      </c>
      <c r="E53" s="58">
        <f>'PPA-Staff'!E72</f>
        <v>11.754718498659519</v>
      </c>
      <c r="F53" s="58">
        <f>'PPA-Staff'!F72</f>
        <v>11.817077747989279</v>
      </c>
      <c r="G53" s="58">
        <f>'PPA-Staff'!G72</f>
        <v>11.879436997319038</v>
      </c>
      <c r="H53" s="58">
        <f>'PPA-Staff'!H72</f>
        <v>11.941796246648797</v>
      </c>
      <c r="I53" s="58">
        <f>'PPA-Staff'!I72</f>
        <v>12.004155495978557</v>
      </c>
    </row>
    <row r="54" spans="1:9">
      <c r="A54" s="400" t="s">
        <v>165</v>
      </c>
      <c r="B54" s="400"/>
      <c r="C54" s="83">
        <v>0</v>
      </c>
      <c r="D54" s="83">
        <v>230</v>
      </c>
      <c r="E54" s="83">
        <v>230</v>
      </c>
      <c r="F54" s="83">
        <v>230</v>
      </c>
      <c r="G54" s="83">
        <v>230</v>
      </c>
      <c r="H54" s="83">
        <v>230</v>
      </c>
      <c r="I54" s="83">
        <v>230</v>
      </c>
    </row>
    <row r="55" spans="1:9">
      <c r="A55" s="400" t="s">
        <v>166</v>
      </c>
      <c r="B55" s="400"/>
      <c r="C55" s="71">
        <v>0</v>
      </c>
      <c r="D55" s="71">
        <v>8</v>
      </c>
      <c r="E55" s="71">
        <v>8</v>
      </c>
      <c r="F55" s="71">
        <v>8</v>
      </c>
      <c r="G55" s="71">
        <v>8</v>
      </c>
      <c r="H55" s="71">
        <v>8</v>
      </c>
      <c r="I55" s="71">
        <v>8</v>
      </c>
    </row>
    <row r="56" spans="1:9" ht="6.75" customHeight="1">
      <c r="B56" s="401"/>
      <c r="C56" s="401"/>
      <c r="D56" s="401"/>
      <c r="E56" s="401"/>
      <c r="F56" s="401"/>
      <c r="G56" s="401"/>
      <c r="H56" s="401"/>
      <c r="I56" s="401"/>
    </row>
    <row r="57" spans="1:9">
      <c r="A57" s="400" t="s">
        <v>57</v>
      </c>
      <c r="B57" s="400"/>
      <c r="C57" s="58">
        <v>11.53</v>
      </c>
      <c r="D57" s="58">
        <f t="shared" ref="D57:I57" si="3">C57+(C57*D23)</f>
        <v>11.591823056300267</v>
      </c>
      <c r="E57" s="58">
        <f t="shared" si="3"/>
        <v>11.653646112600535</v>
      </c>
      <c r="F57" s="58">
        <f t="shared" si="3"/>
        <v>11.715469168900803</v>
      </c>
      <c r="G57" s="58">
        <f t="shared" si="3"/>
        <v>11.777292225201071</v>
      </c>
      <c r="H57" s="58">
        <f t="shared" si="3"/>
        <v>11.839115281501339</v>
      </c>
      <c r="I57" s="58">
        <f t="shared" si="3"/>
        <v>11.900938337801607</v>
      </c>
    </row>
    <row r="58" spans="1:9">
      <c r="A58" s="400" t="s">
        <v>177</v>
      </c>
      <c r="B58" s="400"/>
      <c r="C58" s="247">
        <v>0</v>
      </c>
      <c r="D58" s="247">
        <v>0</v>
      </c>
      <c r="E58" s="247">
        <v>0</v>
      </c>
      <c r="F58" s="247">
        <v>0</v>
      </c>
      <c r="G58" s="247">
        <v>0</v>
      </c>
      <c r="H58" s="247">
        <v>0</v>
      </c>
      <c r="I58" s="247">
        <v>0</v>
      </c>
    </row>
    <row r="59" spans="1:9">
      <c r="A59" s="400" t="s">
        <v>167</v>
      </c>
      <c r="B59" s="400"/>
      <c r="C59" s="247">
        <v>203</v>
      </c>
      <c r="D59" s="247">
        <v>203</v>
      </c>
      <c r="E59" s="247">
        <v>203</v>
      </c>
      <c r="F59" s="247">
        <v>203</v>
      </c>
      <c r="G59" s="247">
        <v>203</v>
      </c>
      <c r="H59" s="247">
        <v>203</v>
      </c>
      <c r="I59" s="247">
        <v>203</v>
      </c>
    </row>
    <row r="60" spans="1:9">
      <c r="A60" s="400" t="s">
        <v>168</v>
      </c>
      <c r="B60" s="400"/>
      <c r="C60" s="71">
        <v>8</v>
      </c>
      <c r="D60" s="71">
        <v>8</v>
      </c>
      <c r="E60" s="71">
        <v>8</v>
      </c>
      <c r="F60" s="71">
        <v>8</v>
      </c>
      <c r="G60" s="71">
        <v>8</v>
      </c>
      <c r="H60" s="71">
        <v>8</v>
      </c>
      <c r="I60" s="71">
        <v>8</v>
      </c>
    </row>
    <row r="61" spans="1:9" ht="6.75" customHeight="1">
      <c r="B61" s="401"/>
      <c r="C61" s="401"/>
      <c r="D61" s="401"/>
      <c r="E61" s="401"/>
      <c r="F61" s="401"/>
      <c r="G61" s="401"/>
      <c r="H61" s="401"/>
      <c r="I61" s="401"/>
    </row>
    <row r="62" spans="1:9">
      <c r="A62" s="403" t="s">
        <v>178</v>
      </c>
      <c r="B62" s="403"/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</row>
    <row r="63" spans="1:9">
      <c r="A63" s="403" t="s">
        <v>169</v>
      </c>
      <c r="B63" s="403"/>
      <c r="C63" s="58"/>
      <c r="D63" s="58"/>
      <c r="E63" s="58"/>
      <c r="F63" s="58"/>
      <c r="G63" s="58"/>
      <c r="H63" s="58"/>
      <c r="I63" s="58"/>
    </row>
    <row r="64" spans="1:9">
      <c r="A64" s="403" t="s">
        <v>170</v>
      </c>
      <c r="B64" s="403"/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</row>
    <row r="65" spans="2:18" ht="6.75" customHeight="1">
      <c r="B65" s="401"/>
      <c r="C65" s="401"/>
      <c r="D65" s="401"/>
      <c r="E65" s="401"/>
      <c r="F65" s="401"/>
      <c r="G65" s="401"/>
      <c r="H65" s="401"/>
      <c r="I65" s="401"/>
    </row>
    <row r="67" spans="2:18" ht="23.25" thickBot="1">
      <c r="B67" s="40" t="s">
        <v>58</v>
      </c>
      <c r="C67" s="41"/>
      <c r="D67" s="41"/>
      <c r="E67" s="41"/>
      <c r="F67" s="41"/>
      <c r="G67" s="41"/>
      <c r="H67" s="41"/>
      <c r="I67" s="41"/>
    </row>
    <row r="68" spans="2:18" ht="32.25" customHeight="1">
      <c r="B68" s="401" t="s">
        <v>59</v>
      </c>
      <c r="C68" s="401"/>
      <c r="D68" s="401"/>
      <c r="E68" s="401"/>
      <c r="F68" s="401"/>
      <c r="G68" s="401"/>
      <c r="H68" s="401"/>
      <c r="I68" s="401"/>
    </row>
    <row r="69" spans="2:18">
      <c r="C69" s="192" t="s">
        <v>22</v>
      </c>
      <c r="D69" s="192" t="s">
        <v>98</v>
      </c>
      <c r="E69" s="192" t="s">
        <v>99</v>
      </c>
      <c r="F69" s="192" t="s">
        <v>100</v>
      </c>
      <c r="G69" s="192" t="s">
        <v>101</v>
      </c>
      <c r="H69" s="192" t="s">
        <v>102</v>
      </c>
      <c r="I69" s="192" t="s">
        <v>103</v>
      </c>
    </row>
    <row r="70" spans="2:18">
      <c r="B70" s="190" t="s">
        <v>159</v>
      </c>
      <c r="C70" s="77">
        <v>2.35E-2</v>
      </c>
      <c r="D70" s="77">
        <v>2.35E-2</v>
      </c>
      <c r="E70" s="77">
        <v>2.35E-2</v>
      </c>
      <c r="F70" s="77">
        <v>2.35E-2</v>
      </c>
      <c r="G70" s="77">
        <v>2.35E-2</v>
      </c>
      <c r="H70" s="77">
        <v>2.35E-2</v>
      </c>
      <c r="I70" s="77">
        <v>2.35E-2</v>
      </c>
    </row>
    <row r="71" spans="2:18">
      <c r="B71" s="57" t="s">
        <v>175</v>
      </c>
      <c r="C71" s="77">
        <v>7.6499999999999999E-2</v>
      </c>
      <c r="D71" s="77">
        <v>7.6499999999999999E-2</v>
      </c>
      <c r="E71" s="77">
        <v>7.6499999999999999E-2</v>
      </c>
      <c r="F71" s="77">
        <v>7.6499999999999999E-2</v>
      </c>
      <c r="G71" s="77">
        <v>7.6499999999999999E-2</v>
      </c>
      <c r="H71" s="77">
        <v>7.6499999999999999E-2</v>
      </c>
      <c r="I71" s="77">
        <v>7.6499999999999999E-2</v>
      </c>
    </row>
    <row r="72" spans="2:18">
      <c r="B72" s="57" t="s">
        <v>60</v>
      </c>
      <c r="C72" s="77">
        <v>5.3E-3</v>
      </c>
      <c r="D72" s="77">
        <v>5.3E-3</v>
      </c>
      <c r="E72" s="77">
        <v>5.3E-3</v>
      </c>
      <c r="F72" s="77">
        <v>5.3E-3</v>
      </c>
      <c r="G72" s="77">
        <v>5.3E-3</v>
      </c>
      <c r="H72" s="77">
        <v>5.3E-3</v>
      </c>
      <c r="I72" s="77">
        <v>5.3E-3</v>
      </c>
    </row>
    <row r="73" spans="2:18">
      <c r="B73" s="57" t="s">
        <v>61</v>
      </c>
      <c r="C73" s="77">
        <v>4.4900000000000002E-2</v>
      </c>
      <c r="D73" s="77">
        <v>4.4900000000000002E-2</v>
      </c>
      <c r="E73" s="77">
        <v>4.4900000000000002E-2</v>
      </c>
      <c r="F73" s="77">
        <v>4.4900000000000002E-2</v>
      </c>
      <c r="G73" s="77">
        <v>4.4900000000000002E-2</v>
      </c>
      <c r="H73" s="77">
        <v>4.4900000000000002E-2</v>
      </c>
      <c r="I73" s="77">
        <v>4.4900000000000002E-2</v>
      </c>
    </row>
    <row r="74" spans="2:18" ht="6" customHeight="1"/>
    <row r="75" spans="2:18">
      <c r="B75" s="57" t="s">
        <v>62</v>
      </c>
      <c r="C75" s="77">
        <v>5.3999999999999999E-2</v>
      </c>
      <c r="D75" s="77">
        <v>5.3999999999999999E-2</v>
      </c>
      <c r="E75" s="77">
        <v>5.3999999999999999E-2</v>
      </c>
      <c r="F75" s="77">
        <v>5.3999999999999999E-2</v>
      </c>
      <c r="G75" s="77">
        <v>5.3999999999999999E-2</v>
      </c>
      <c r="H75" s="77">
        <v>5.3999999999999999E-2</v>
      </c>
      <c r="I75" s="77">
        <v>5.3999999999999999E-2</v>
      </c>
    </row>
    <row r="76" spans="2:18">
      <c r="B76" s="57" t="s">
        <v>160</v>
      </c>
      <c r="C76" s="78">
        <v>7000</v>
      </c>
      <c r="D76" s="78">
        <v>8000</v>
      </c>
      <c r="E76" s="78">
        <v>8000</v>
      </c>
      <c r="F76" s="78">
        <v>7500</v>
      </c>
      <c r="G76" s="78">
        <v>7000</v>
      </c>
      <c r="H76" s="78">
        <v>6500</v>
      </c>
      <c r="I76" s="78">
        <v>6000</v>
      </c>
    </row>
    <row r="78" spans="2:18" ht="23.25" thickBot="1">
      <c r="B78" s="40" t="s">
        <v>64</v>
      </c>
      <c r="C78" s="41"/>
      <c r="D78" s="41"/>
      <c r="E78" s="41"/>
      <c r="F78" s="41"/>
      <c r="G78" s="41"/>
      <c r="H78" s="41"/>
      <c r="I78" s="41"/>
    </row>
    <row r="80" spans="2:18">
      <c r="C80" s="192" t="s">
        <v>22</v>
      </c>
      <c r="D80" s="192" t="s">
        <v>98</v>
      </c>
      <c r="E80" s="192" t="s">
        <v>99</v>
      </c>
      <c r="F80" s="192" t="s">
        <v>100</v>
      </c>
      <c r="G80" s="192" t="s">
        <v>101</v>
      </c>
      <c r="H80" s="192" t="s">
        <v>102</v>
      </c>
      <c r="I80" s="192" t="s">
        <v>103</v>
      </c>
      <c r="J80" s="44"/>
      <c r="M80" s="45"/>
      <c r="N80" s="46"/>
      <c r="O80" s="45"/>
      <c r="P80" s="45"/>
      <c r="Q80" s="45"/>
      <c r="R80" s="45"/>
    </row>
    <row r="81" spans="1:18">
      <c r="A81" s="72" t="s">
        <v>161</v>
      </c>
      <c r="J81" s="44"/>
      <c r="M81" s="45"/>
      <c r="N81" s="46"/>
      <c r="O81" s="45"/>
      <c r="P81" s="45"/>
      <c r="Q81" s="45"/>
      <c r="R81" s="45"/>
    </row>
    <row r="82" spans="1:18" ht="15">
      <c r="A82" s="30"/>
      <c r="B82" s="31" t="s">
        <v>30</v>
      </c>
      <c r="C82" s="79">
        <f>(C41*C42)+(C32*C33)</f>
        <v>0</v>
      </c>
      <c r="D82" s="79">
        <f t="shared" ref="D82:I82" si="4">(D41*D42)+(D32*D33)</f>
        <v>0</v>
      </c>
      <c r="E82" s="79">
        <f t="shared" si="4"/>
        <v>0</v>
      </c>
      <c r="F82" s="79">
        <f t="shared" si="4"/>
        <v>0</v>
      </c>
      <c r="G82" s="79">
        <f t="shared" si="4"/>
        <v>0</v>
      </c>
      <c r="H82" s="79">
        <f t="shared" si="4"/>
        <v>0</v>
      </c>
      <c r="I82" s="79">
        <f t="shared" si="4"/>
        <v>0</v>
      </c>
      <c r="K82" s="33"/>
    </row>
    <row r="83" spans="1:18" ht="15">
      <c r="A83" s="30"/>
      <c r="B83" s="31" t="s">
        <v>68</v>
      </c>
      <c r="C83" s="32">
        <f>C57*C58*C59*C60</f>
        <v>0</v>
      </c>
      <c r="D83" s="32">
        <f t="shared" ref="D83:I83" si="5">D57*D58*D59*D60</f>
        <v>0</v>
      </c>
      <c r="E83" s="32">
        <f t="shared" si="5"/>
        <v>0</v>
      </c>
      <c r="F83" s="32">
        <f t="shared" si="5"/>
        <v>0</v>
      </c>
      <c r="G83" s="32">
        <f t="shared" si="5"/>
        <v>0</v>
      </c>
      <c r="H83" s="32">
        <f t="shared" si="5"/>
        <v>0</v>
      </c>
      <c r="I83" s="32">
        <f t="shared" si="5"/>
        <v>0</v>
      </c>
      <c r="K83" s="33"/>
      <c r="M83" s="33"/>
    </row>
    <row r="84" spans="1:18" ht="15">
      <c r="A84" s="30"/>
      <c r="B84" s="31" t="s">
        <v>175</v>
      </c>
      <c r="C84" s="32">
        <f>SUM(C82:C83)*C$71</f>
        <v>0</v>
      </c>
      <c r="D84" s="32">
        <f t="shared" ref="D84:I84" si="6">SUM(D82:D83)*D$71</f>
        <v>0</v>
      </c>
      <c r="E84" s="32">
        <f t="shared" si="6"/>
        <v>0</v>
      </c>
      <c r="F84" s="32">
        <f t="shared" si="6"/>
        <v>0</v>
      </c>
      <c r="G84" s="32">
        <f t="shared" si="6"/>
        <v>0</v>
      </c>
      <c r="H84" s="32">
        <f t="shared" si="6"/>
        <v>0</v>
      </c>
      <c r="I84" s="32">
        <f t="shared" si="6"/>
        <v>0</v>
      </c>
      <c r="K84" s="33"/>
      <c r="M84" s="33"/>
    </row>
    <row r="85" spans="1:18" ht="15">
      <c r="A85" s="30"/>
      <c r="B85" s="31" t="s">
        <v>66</v>
      </c>
      <c r="C85" s="32">
        <f>SUM(C82:C83)*C$72</f>
        <v>0</v>
      </c>
      <c r="D85" s="32">
        <f t="shared" ref="D85:I85" si="7">SUM(D82:D83)*D$72</f>
        <v>0</v>
      </c>
      <c r="E85" s="32">
        <f t="shared" si="7"/>
        <v>0</v>
      </c>
      <c r="F85" s="32">
        <f t="shared" si="7"/>
        <v>0</v>
      </c>
      <c r="G85" s="32">
        <f t="shared" si="7"/>
        <v>0</v>
      </c>
      <c r="H85" s="32">
        <f t="shared" si="7"/>
        <v>0</v>
      </c>
      <c r="I85" s="32">
        <f t="shared" si="7"/>
        <v>0</v>
      </c>
      <c r="K85" s="33"/>
      <c r="M85" s="33"/>
    </row>
    <row r="86" spans="1:18" ht="15">
      <c r="A86" s="30"/>
      <c r="B86" s="31" t="s">
        <v>176</v>
      </c>
      <c r="C86" s="32">
        <f>(C58+C42+C33)*C76*C75</f>
        <v>0</v>
      </c>
      <c r="D86" s="32">
        <f t="shared" ref="D86:I86" si="8">(D58+D42+D33)*D76*D75</f>
        <v>0</v>
      </c>
      <c r="E86" s="32">
        <f t="shared" si="8"/>
        <v>0</v>
      </c>
      <c r="F86" s="32">
        <f t="shared" si="8"/>
        <v>0</v>
      </c>
      <c r="G86" s="32">
        <f t="shared" si="8"/>
        <v>0</v>
      </c>
      <c r="H86" s="32">
        <f t="shared" si="8"/>
        <v>0</v>
      </c>
      <c r="I86" s="32">
        <f t="shared" si="8"/>
        <v>0</v>
      </c>
      <c r="K86" s="33"/>
      <c r="M86" s="33"/>
    </row>
    <row r="87" spans="1:18" ht="15">
      <c r="A87" s="30"/>
      <c r="B87" s="31" t="s">
        <v>52</v>
      </c>
      <c r="C87" s="32">
        <f>SUM(C82:C83)*'PPA-Staff'!C$46</f>
        <v>0</v>
      </c>
      <c r="D87" s="32">
        <f>SUM(D82:D83)*'PPA-Staff'!D$46</f>
        <v>0</v>
      </c>
      <c r="E87" s="32">
        <f>SUM(E82:E83)*'PPA-Staff'!E$46</f>
        <v>0</v>
      </c>
      <c r="F87" s="32">
        <f>SUM(F82:F83)*'PPA-Staff'!F$46</f>
        <v>0</v>
      </c>
      <c r="G87" s="32">
        <f>SUM(G82:G83)*'PPA-Staff'!G$46</f>
        <v>0</v>
      </c>
      <c r="H87" s="32">
        <f>SUM(H82:H83)*'PPA-Staff'!H$46</f>
        <v>0</v>
      </c>
      <c r="I87" s="32">
        <f>SUM(I82:I83)*'PPA-Staff'!I$46</f>
        <v>0</v>
      </c>
      <c r="K87" s="33"/>
      <c r="M87" s="33"/>
    </row>
    <row r="88" spans="1:18" ht="6" customHeight="1"/>
    <row r="89" spans="1:18">
      <c r="A89" s="72" t="s">
        <v>163</v>
      </c>
      <c r="J89" s="44"/>
      <c r="M89" s="45"/>
      <c r="N89" s="46"/>
      <c r="O89" s="45"/>
      <c r="P89" s="45"/>
      <c r="Q89" s="45"/>
      <c r="R89" s="45"/>
    </row>
    <row r="90" spans="1:18" ht="15">
      <c r="A90" s="30"/>
      <c r="B90" s="31" t="s">
        <v>67</v>
      </c>
      <c r="C90" s="79">
        <f>C35*C36</f>
        <v>0</v>
      </c>
      <c r="D90" s="79">
        <f t="shared" ref="D90:I90" si="9">D35*D36</f>
        <v>20834.134615384617</v>
      </c>
      <c r="E90" s="79">
        <f t="shared" si="9"/>
        <v>21278.75</v>
      </c>
      <c r="F90" s="79">
        <f t="shared" si="9"/>
        <v>0</v>
      </c>
      <c r="G90" s="79">
        <f t="shared" si="9"/>
        <v>0</v>
      </c>
      <c r="H90" s="79">
        <f t="shared" si="9"/>
        <v>0</v>
      </c>
      <c r="I90" s="79">
        <f t="shared" si="9"/>
        <v>0</v>
      </c>
      <c r="K90" s="33"/>
    </row>
    <row r="91" spans="1:18" ht="15">
      <c r="A91" s="30"/>
      <c r="B91" s="31" t="s">
        <v>175</v>
      </c>
      <c r="C91" s="32">
        <f>C90*C$71</f>
        <v>0</v>
      </c>
      <c r="D91" s="32">
        <f t="shared" ref="D91:I91" si="10">D90*D$71</f>
        <v>1593.8112980769231</v>
      </c>
      <c r="E91" s="32">
        <f t="shared" si="10"/>
        <v>1627.8243749999999</v>
      </c>
      <c r="F91" s="32">
        <f t="shared" si="10"/>
        <v>0</v>
      </c>
      <c r="G91" s="32">
        <f t="shared" si="10"/>
        <v>0</v>
      </c>
      <c r="H91" s="32">
        <f t="shared" si="10"/>
        <v>0</v>
      </c>
      <c r="I91" s="32">
        <f t="shared" si="10"/>
        <v>0</v>
      </c>
      <c r="K91" s="33"/>
      <c r="M91" s="33"/>
    </row>
    <row r="92" spans="1:18" ht="15">
      <c r="A92" s="30"/>
      <c r="B92" s="31" t="s">
        <v>66</v>
      </c>
      <c r="C92" s="32">
        <f>C90*C$72</f>
        <v>0</v>
      </c>
      <c r="D92" s="32">
        <f t="shared" ref="D92:I92" si="11">D90*D$72</f>
        <v>110.42091346153848</v>
      </c>
      <c r="E92" s="32">
        <f t="shared" si="11"/>
        <v>112.77737500000001</v>
      </c>
      <c r="F92" s="32">
        <f t="shared" si="11"/>
        <v>0</v>
      </c>
      <c r="G92" s="32">
        <f t="shared" si="11"/>
        <v>0</v>
      </c>
      <c r="H92" s="32">
        <f t="shared" si="11"/>
        <v>0</v>
      </c>
      <c r="I92" s="32">
        <f t="shared" si="11"/>
        <v>0</v>
      </c>
      <c r="K92" s="33"/>
      <c r="M92" s="33"/>
    </row>
    <row r="93" spans="1:18" ht="15">
      <c r="A93" s="30"/>
      <c r="B93" s="31" t="s">
        <v>176</v>
      </c>
      <c r="C93" s="81">
        <f>(C36)*C$76*C$75</f>
        <v>0</v>
      </c>
      <c r="D93" s="81">
        <f t="shared" ref="D93:I93" si="12">(D36)*D$76*D$75</f>
        <v>216</v>
      </c>
      <c r="E93" s="81">
        <f t="shared" si="12"/>
        <v>216</v>
      </c>
      <c r="F93" s="81">
        <f t="shared" si="12"/>
        <v>0</v>
      </c>
      <c r="G93" s="81">
        <f t="shared" si="12"/>
        <v>0</v>
      </c>
      <c r="H93" s="81">
        <f t="shared" si="12"/>
        <v>0</v>
      </c>
      <c r="I93" s="81">
        <f t="shared" si="12"/>
        <v>0</v>
      </c>
      <c r="K93" s="33"/>
      <c r="M93" s="33"/>
    </row>
    <row r="94" spans="1:18" ht="15">
      <c r="A94" s="30"/>
      <c r="B94" s="31" t="s">
        <v>52</v>
      </c>
      <c r="C94" s="32">
        <f>C90*'PPA-Staff'!C46</f>
        <v>0</v>
      </c>
      <c r="D94" s="32">
        <f>D90*'PPA-Staff'!D46</f>
        <v>3229.2908653846157</v>
      </c>
      <c r="E94" s="32">
        <f>E90*'PPA-Staff'!E46</f>
        <v>3298.2062500000002</v>
      </c>
      <c r="F94" s="32">
        <f>F90*'PPA-Staff'!F46</f>
        <v>0</v>
      </c>
      <c r="G94" s="32">
        <f>G90*'PPA-Staff'!G46</f>
        <v>0</v>
      </c>
      <c r="H94" s="32">
        <f>H90*'PPA-Staff'!H46</f>
        <v>0</v>
      </c>
      <c r="I94" s="32">
        <f>I90*'PPA-Staff'!I46</f>
        <v>0</v>
      </c>
      <c r="K94" s="33"/>
      <c r="M94" s="33"/>
    </row>
    <row r="95" spans="1:18" ht="6" customHeight="1"/>
    <row r="96" spans="1:18">
      <c r="A96" s="72" t="s">
        <v>282</v>
      </c>
      <c r="J96" s="44"/>
      <c r="M96" s="45"/>
      <c r="N96" s="46"/>
      <c r="O96" s="45"/>
      <c r="P96" s="45"/>
      <c r="Q96" s="45"/>
      <c r="R96" s="45"/>
    </row>
    <row r="97" spans="1:18" ht="15">
      <c r="A97" s="30"/>
      <c r="B97" s="31" t="s">
        <v>182</v>
      </c>
      <c r="C97" s="32">
        <f>(C26*C27)+(C29*C30)</f>
        <v>14615.040000000003</v>
      </c>
      <c r="D97" s="32">
        <f t="shared" ref="D97:I97" si="13">(D26*D27)+(D29*D30)</f>
        <v>76753.351206434323</v>
      </c>
      <c r="E97" s="32">
        <f t="shared" si="13"/>
        <v>77162.702412868646</v>
      </c>
      <c r="F97" s="32">
        <f t="shared" si="13"/>
        <v>77572.053619302969</v>
      </c>
      <c r="G97" s="32">
        <f t="shared" si="13"/>
        <v>77981.404825737292</v>
      </c>
      <c r="H97" s="32">
        <f t="shared" si="13"/>
        <v>78390.756032171616</v>
      </c>
      <c r="I97" s="32">
        <f t="shared" si="13"/>
        <v>78800.107238605939</v>
      </c>
      <c r="K97" s="33"/>
    </row>
    <row r="98" spans="1:18" ht="15">
      <c r="A98" s="30"/>
      <c r="B98" s="31" t="s">
        <v>69</v>
      </c>
      <c r="C98" s="32">
        <f>(C38*C39)+(C45*C46*C47)+(C49*C50*C51)+(C53*C54*C55)+(C62*C63*C64)</f>
        <v>71033.759999999995</v>
      </c>
      <c r="D98" s="32">
        <f t="shared" ref="D98:I98" si="14">(D38*D39)+(D45*D46*D47)+(D49*D50*D51)+(D53*D54*D55)+(D62*D63*D64)</f>
        <v>92928.579088471859</v>
      </c>
      <c r="E98" s="32">
        <f t="shared" si="14"/>
        <v>93424.198176943697</v>
      </c>
      <c r="F98" s="32">
        <f t="shared" si="14"/>
        <v>93919.81726541555</v>
      </c>
      <c r="G98" s="32">
        <f t="shared" si="14"/>
        <v>94415.436353887417</v>
      </c>
      <c r="H98" s="32">
        <f t="shared" si="14"/>
        <v>94911.055442359255</v>
      </c>
      <c r="I98" s="32">
        <f t="shared" si="14"/>
        <v>95406.674530831107</v>
      </c>
      <c r="K98" s="33"/>
    </row>
    <row r="99" spans="1:18" ht="15">
      <c r="A99" s="30"/>
      <c r="B99" s="31" t="s">
        <v>175</v>
      </c>
      <c r="C99" s="32">
        <f>SUM(C97:C98)*C$71</f>
        <v>6552.1332000000002</v>
      </c>
      <c r="D99" s="32">
        <f t="shared" ref="D99:I99" si="15">SUM(D97:D98)*D$71</f>
        <v>12980.667667560323</v>
      </c>
      <c r="E99" s="32">
        <f t="shared" si="15"/>
        <v>13049.897895120645</v>
      </c>
      <c r="F99" s="32">
        <f t="shared" si="15"/>
        <v>13119.128122680966</v>
      </c>
      <c r="G99" s="32">
        <f t="shared" si="15"/>
        <v>13188.358350241291</v>
      </c>
      <c r="H99" s="32">
        <f t="shared" si="15"/>
        <v>13257.588577801611</v>
      </c>
      <c r="I99" s="32">
        <f t="shared" si="15"/>
        <v>13326.818805361934</v>
      </c>
      <c r="K99" s="33"/>
      <c r="M99" s="33"/>
    </row>
    <row r="100" spans="1:18" ht="15">
      <c r="A100" s="30"/>
      <c r="B100" s="31" t="s">
        <v>66</v>
      </c>
      <c r="C100" s="32">
        <f>SUM(C97:C98)*C$72</f>
        <v>453.93864000000002</v>
      </c>
      <c r="D100" s="32">
        <f t="shared" ref="D100:I100" si="16">SUM(D97:D98)*D$72</f>
        <v>899.31423056300287</v>
      </c>
      <c r="E100" s="32">
        <f t="shared" si="16"/>
        <v>904.11057312600542</v>
      </c>
      <c r="F100" s="32">
        <f t="shared" si="16"/>
        <v>908.9069156890082</v>
      </c>
      <c r="G100" s="32">
        <f t="shared" si="16"/>
        <v>913.7032582520111</v>
      </c>
      <c r="H100" s="32">
        <f t="shared" si="16"/>
        <v>918.49960081501365</v>
      </c>
      <c r="I100" s="32">
        <f t="shared" si="16"/>
        <v>923.29594337801632</v>
      </c>
      <c r="K100" s="33"/>
      <c r="M100" s="33"/>
    </row>
    <row r="101" spans="1:18" ht="15">
      <c r="A101" s="30"/>
      <c r="B101" s="31" t="s">
        <v>176</v>
      </c>
      <c r="C101" s="81">
        <f>(C39+IF(C46*C47=0,0,1)+IF(C51*C50=0,0,1)+IF(C54*C55=0,0,1)+IF(C63*C64=0,0,1)+C27+C30)*C75*C76</f>
        <v>831.6</v>
      </c>
      <c r="D101" s="81">
        <f t="shared" ref="D101:I101" si="17">(D39+IF(D46*D47=0,0,1)+IF(D51*D50=0,0,1)+IF(D54*D55=0,0,1)+IF(D63*D64=0,0,1)+D27+D30)*D75*D76</f>
        <v>1728</v>
      </c>
      <c r="E101" s="81">
        <f t="shared" si="17"/>
        <v>1728</v>
      </c>
      <c r="F101" s="81">
        <f t="shared" si="17"/>
        <v>1620</v>
      </c>
      <c r="G101" s="81">
        <f t="shared" si="17"/>
        <v>1512</v>
      </c>
      <c r="H101" s="81">
        <f t="shared" si="17"/>
        <v>1404</v>
      </c>
      <c r="I101" s="81">
        <f t="shared" si="17"/>
        <v>1296</v>
      </c>
      <c r="K101" s="33"/>
      <c r="M101" s="33"/>
    </row>
    <row r="102" spans="1:18" ht="15">
      <c r="A102" s="30"/>
      <c r="B102" s="31" t="s">
        <v>52</v>
      </c>
      <c r="C102" s="32">
        <f>SUM(C97:C98)*'PPA-Staff'!C46</f>
        <v>13275.564</v>
      </c>
      <c r="D102" s="32">
        <f>SUM(D97:D98)*'PPA-Staff'!D46</f>
        <v>26300.699195710462</v>
      </c>
      <c r="E102" s="32">
        <f>SUM(E97:E98)*'PPA-Staff'!E46</f>
        <v>26440.969591420911</v>
      </c>
      <c r="F102" s="32">
        <f>SUM(F97:F98)*'PPA-Staff'!F46</f>
        <v>26581.239987131372</v>
      </c>
      <c r="G102" s="32">
        <f>SUM(G97:G98)*'PPA-Staff'!G46</f>
        <v>26721.510382841832</v>
      </c>
      <c r="H102" s="32">
        <f>SUM(H97:H98)*'PPA-Staff'!H46</f>
        <v>26861.780778552285</v>
      </c>
      <c r="I102" s="32">
        <f>SUM(I97:I98)*'PPA-Staff'!I46</f>
        <v>27002.051174262742</v>
      </c>
      <c r="K102" s="33"/>
      <c r="M102" s="33"/>
    </row>
    <row r="104" spans="1:18">
      <c r="A104" s="30"/>
      <c r="B104" s="84" t="s">
        <v>47</v>
      </c>
      <c r="C104" s="85">
        <f t="shared" ref="C104:I104" si="18">SUM(C82:C102)</f>
        <v>106762.03584</v>
      </c>
      <c r="D104" s="85">
        <f t="shared" si="18"/>
        <v>237574.26908104768</v>
      </c>
      <c r="E104" s="85">
        <f t="shared" si="18"/>
        <v>239243.43664947987</v>
      </c>
      <c r="F104" s="85">
        <f t="shared" si="18"/>
        <v>213721.14591021987</v>
      </c>
      <c r="G104" s="85">
        <f t="shared" si="18"/>
        <v>214732.41317095986</v>
      </c>
      <c r="H104" s="85">
        <f t="shared" si="18"/>
        <v>215743.68043169979</v>
      </c>
      <c r="I104" s="85">
        <f t="shared" si="18"/>
        <v>216754.94769243972</v>
      </c>
    </row>
    <row r="107" spans="1:18" ht="23.25" thickBot="1">
      <c r="B107" s="40" t="s">
        <v>183</v>
      </c>
    </row>
    <row r="108" spans="1:18">
      <c r="C108" s="192" t="s">
        <v>22</v>
      </c>
      <c r="D108" s="192" t="s">
        <v>98</v>
      </c>
      <c r="E108" s="192" t="s">
        <v>99</v>
      </c>
      <c r="F108" s="192" t="s">
        <v>100</v>
      </c>
      <c r="G108" s="192" t="s">
        <v>101</v>
      </c>
      <c r="H108" s="192" t="s">
        <v>102</v>
      </c>
      <c r="I108" s="192" t="s">
        <v>103</v>
      </c>
      <c r="J108" s="44"/>
      <c r="M108" s="45"/>
      <c r="N108" s="46"/>
      <c r="O108" s="45"/>
      <c r="P108" s="45"/>
      <c r="Q108" s="45"/>
      <c r="R108" s="45"/>
    </row>
    <row r="109" spans="1:18">
      <c r="A109" s="72" t="s">
        <v>161</v>
      </c>
    </row>
    <row r="110" spans="1:18" ht="15">
      <c r="A110" s="30"/>
      <c r="B110" s="31" t="s">
        <v>30</v>
      </c>
      <c r="C110" s="80">
        <f>C$17*C82</f>
        <v>0</v>
      </c>
      <c r="D110" s="80">
        <f t="shared" ref="D110:I110" si="19">D$17*D82</f>
        <v>0</v>
      </c>
      <c r="E110" s="80">
        <f t="shared" si="19"/>
        <v>0</v>
      </c>
      <c r="F110" s="80">
        <f t="shared" si="19"/>
        <v>0</v>
      </c>
      <c r="G110" s="80">
        <f t="shared" si="19"/>
        <v>0</v>
      </c>
      <c r="H110" s="80">
        <f t="shared" si="19"/>
        <v>0</v>
      </c>
      <c r="I110" s="80">
        <f t="shared" si="19"/>
        <v>0</v>
      </c>
    </row>
    <row r="111" spans="1:18" ht="15">
      <c r="A111" s="30"/>
      <c r="B111" s="31" t="s">
        <v>68</v>
      </c>
      <c r="C111" s="80">
        <f t="shared" ref="C111:I115" si="20">C$17*C83</f>
        <v>0</v>
      </c>
      <c r="D111" s="80">
        <f t="shared" si="20"/>
        <v>0</v>
      </c>
      <c r="E111" s="80">
        <f t="shared" si="20"/>
        <v>0</v>
      </c>
      <c r="F111" s="80">
        <f t="shared" si="20"/>
        <v>0</v>
      </c>
      <c r="G111" s="80">
        <f t="shared" si="20"/>
        <v>0</v>
      </c>
      <c r="H111" s="80">
        <f t="shared" si="20"/>
        <v>0</v>
      </c>
      <c r="I111" s="80">
        <f t="shared" si="20"/>
        <v>0</v>
      </c>
    </row>
    <row r="112" spans="1:18" ht="15">
      <c r="A112" s="30"/>
      <c r="B112" s="31" t="s">
        <v>175</v>
      </c>
      <c r="C112" s="80">
        <f t="shared" si="20"/>
        <v>0</v>
      </c>
      <c r="D112" s="80">
        <f t="shared" si="20"/>
        <v>0</v>
      </c>
      <c r="E112" s="80">
        <f t="shared" si="20"/>
        <v>0</v>
      </c>
      <c r="F112" s="80">
        <f t="shared" si="20"/>
        <v>0</v>
      </c>
      <c r="G112" s="80">
        <f t="shared" si="20"/>
        <v>0</v>
      </c>
      <c r="H112" s="80">
        <f t="shared" si="20"/>
        <v>0</v>
      </c>
      <c r="I112" s="80">
        <f t="shared" si="20"/>
        <v>0</v>
      </c>
    </row>
    <row r="113" spans="1:9" ht="15">
      <c r="A113" s="30"/>
      <c r="B113" s="31" t="s">
        <v>66</v>
      </c>
      <c r="C113" s="80">
        <f t="shared" si="20"/>
        <v>0</v>
      </c>
      <c r="D113" s="80">
        <f t="shared" si="20"/>
        <v>0</v>
      </c>
      <c r="E113" s="80">
        <f t="shared" si="20"/>
        <v>0</v>
      </c>
      <c r="F113" s="80">
        <f t="shared" si="20"/>
        <v>0</v>
      </c>
      <c r="G113" s="80">
        <f t="shared" si="20"/>
        <v>0</v>
      </c>
      <c r="H113" s="80">
        <f t="shared" si="20"/>
        <v>0</v>
      </c>
      <c r="I113" s="80">
        <f t="shared" si="20"/>
        <v>0</v>
      </c>
    </row>
    <row r="114" spans="1:9" ht="15">
      <c r="A114" s="30"/>
      <c r="B114" s="31" t="s">
        <v>176</v>
      </c>
      <c r="C114" s="80">
        <f t="shared" si="20"/>
        <v>0</v>
      </c>
      <c r="D114" s="80">
        <f t="shared" si="20"/>
        <v>0</v>
      </c>
      <c r="E114" s="80">
        <f t="shared" si="20"/>
        <v>0</v>
      </c>
      <c r="F114" s="80">
        <f t="shared" si="20"/>
        <v>0</v>
      </c>
      <c r="G114" s="80">
        <f t="shared" si="20"/>
        <v>0</v>
      </c>
      <c r="H114" s="80">
        <f t="shared" si="20"/>
        <v>0</v>
      </c>
      <c r="I114" s="80">
        <f t="shared" si="20"/>
        <v>0</v>
      </c>
    </row>
    <row r="115" spans="1:9" ht="15">
      <c r="A115" s="30"/>
      <c r="B115" s="31" t="s">
        <v>52</v>
      </c>
      <c r="C115" s="80">
        <f t="shared" si="20"/>
        <v>0</v>
      </c>
      <c r="D115" s="80">
        <f t="shared" si="20"/>
        <v>0</v>
      </c>
      <c r="E115" s="80">
        <f t="shared" si="20"/>
        <v>0</v>
      </c>
      <c r="F115" s="80">
        <f t="shared" si="20"/>
        <v>0</v>
      </c>
      <c r="G115" s="80">
        <f t="shared" si="20"/>
        <v>0</v>
      </c>
      <c r="H115" s="80">
        <f t="shared" si="20"/>
        <v>0</v>
      </c>
      <c r="I115" s="80">
        <f t="shared" si="20"/>
        <v>0</v>
      </c>
    </row>
    <row r="117" spans="1:9">
      <c r="A117" s="72" t="s">
        <v>163</v>
      </c>
    </row>
    <row r="118" spans="1:9" ht="15">
      <c r="A118" s="30"/>
      <c r="B118" s="31" t="s">
        <v>67</v>
      </c>
      <c r="C118" s="80">
        <f>C$17*C90</f>
        <v>0</v>
      </c>
      <c r="D118" s="80">
        <f t="shared" ref="D118:I122" si="21">D$17*D90</f>
        <v>14406.582446808512</v>
      </c>
      <c r="E118" s="80">
        <f t="shared" si="21"/>
        <v>13048.290094339622</v>
      </c>
      <c r="F118" s="80">
        <f t="shared" si="21"/>
        <v>0</v>
      </c>
      <c r="G118" s="80">
        <f t="shared" si="21"/>
        <v>0</v>
      </c>
      <c r="H118" s="80">
        <f t="shared" si="21"/>
        <v>0</v>
      </c>
      <c r="I118" s="80">
        <f t="shared" si="21"/>
        <v>0</v>
      </c>
    </row>
    <row r="119" spans="1:9" ht="15">
      <c r="A119" s="30"/>
      <c r="B119" s="31" t="s">
        <v>175</v>
      </c>
      <c r="C119" s="80">
        <f>C$17*C91</f>
        <v>0</v>
      </c>
      <c r="D119" s="80">
        <f t="shared" si="21"/>
        <v>1102.1035571808511</v>
      </c>
      <c r="E119" s="80">
        <f t="shared" si="21"/>
        <v>998.19419221698104</v>
      </c>
      <c r="F119" s="80">
        <f t="shared" si="21"/>
        <v>0</v>
      </c>
      <c r="G119" s="80">
        <f t="shared" si="21"/>
        <v>0</v>
      </c>
      <c r="H119" s="80">
        <f t="shared" si="21"/>
        <v>0</v>
      </c>
      <c r="I119" s="80">
        <f t="shared" si="21"/>
        <v>0</v>
      </c>
    </row>
    <row r="120" spans="1:9" ht="15">
      <c r="A120" s="30"/>
      <c r="B120" s="31" t="s">
        <v>66</v>
      </c>
      <c r="C120" s="80">
        <f>C$17*C92</f>
        <v>0</v>
      </c>
      <c r="D120" s="80">
        <f t="shared" si="21"/>
        <v>76.354886968085125</v>
      </c>
      <c r="E120" s="80">
        <f t="shared" si="21"/>
        <v>69.155937500000007</v>
      </c>
      <c r="F120" s="80">
        <f t="shared" si="21"/>
        <v>0</v>
      </c>
      <c r="G120" s="80">
        <f t="shared" si="21"/>
        <v>0</v>
      </c>
      <c r="H120" s="80">
        <f t="shared" si="21"/>
        <v>0</v>
      </c>
      <c r="I120" s="80">
        <f t="shared" si="21"/>
        <v>0</v>
      </c>
    </row>
    <row r="121" spans="1:9" ht="15">
      <c r="A121" s="30"/>
      <c r="B121" s="31" t="s">
        <v>176</v>
      </c>
      <c r="C121" s="80">
        <f>C$17*C93</f>
        <v>0</v>
      </c>
      <c r="D121" s="80">
        <f t="shared" si="21"/>
        <v>149.36170212765958</v>
      </c>
      <c r="E121" s="80">
        <f t="shared" si="21"/>
        <v>132.45283018867923</v>
      </c>
      <c r="F121" s="80">
        <f t="shared" si="21"/>
        <v>0</v>
      </c>
      <c r="G121" s="80">
        <f t="shared" si="21"/>
        <v>0</v>
      </c>
      <c r="H121" s="80">
        <f t="shared" si="21"/>
        <v>0</v>
      </c>
      <c r="I121" s="80">
        <f t="shared" si="21"/>
        <v>0</v>
      </c>
    </row>
    <row r="122" spans="1:9" ht="15">
      <c r="A122" s="30"/>
      <c r="B122" s="31" t="s">
        <v>52</v>
      </c>
      <c r="C122" s="80">
        <f>C$17*C94</f>
        <v>0</v>
      </c>
      <c r="D122" s="80">
        <f t="shared" si="21"/>
        <v>2233.0202792553196</v>
      </c>
      <c r="E122" s="80">
        <f t="shared" si="21"/>
        <v>2022.4849646226414</v>
      </c>
      <c r="F122" s="80">
        <f t="shared" si="21"/>
        <v>0</v>
      </c>
      <c r="G122" s="80">
        <f t="shared" si="21"/>
        <v>0</v>
      </c>
      <c r="H122" s="80">
        <f t="shared" si="21"/>
        <v>0</v>
      </c>
      <c r="I122" s="80">
        <f t="shared" si="21"/>
        <v>0</v>
      </c>
    </row>
    <row r="124" spans="1:9">
      <c r="A124" s="72" t="s">
        <v>282</v>
      </c>
    </row>
    <row r="125" spans="1:9" ht="15">
      <c r="A125" s="30"/>
      <c r="B125" s="31" t="s">
        <v>182</v>
      </c>
      <c r="C125" s="80">
        <f t="shared" ref="C125:C130" si="22">C$17*C97</f>
        <v>14615.040000000003</v>
      </c>
      <c r="D125" s="80">
        <f t="shared" ref="D125:I130" si="23">D$17*D97</f>
        <v>53074.125834236504</v>
      </c>
      <c r="E125" s="80">
        <f t="shared" si="23"/>
        <v>47316.751479589264</v>
      </c>
      <c r="F125" s="80">
        <f t="shared" si="23"/>
        <v>46329.404152416777</v>
      </c>
      <c r="G125" s="80">
        <f t="shared" si="23"/>
        <v>44268.919770069202</v>
      </c>
      <c r="H125" s="80">
        <f t="shared" si="23"/>
        <v>43426.697233731436</v>
      </c>
      <c r="I125" s="80">
        <f t="shared" si="23"/>
        <v>43653.468498659538</v>
      </c>
    </row>
    <row r="126" spans="1:9" ht="15">
      <c r="A126" s="30"/>
      <c r="B126" s="31" t="s">
        <v>69</v>
      </c>
      <c r="C126" s="80">
        <f t="shared" si="22"/>
        <v>71033.759999999995</v>
      </c>
      <c r="D126" s="80">
        <f t="shared" si="23"/>
        <v>64259.123837773099</v>
      </c>
      <c r="E126" s="80">
        <f t="shared" si="23"/>
        <v>57288.423410390002</v>
      </c>
      <c r="F126" s="80">
        <f t="shared" si="23"/>
        <v>56092.999591902088</v>
      </c>
      <c r="G126" s="80">
        <f t="shared" si="23"/>
        <v>53598.282646311636</v>
      </c>
      <c r="H126" s="80">
        <f t="shared" si="23"/>
        <v>52578.567645625153</v>
      </c>
      <c r="I126" s="80">
        <f t="shared" si="23"/>
        <v>52853.129356568366</v>
      </c>
    </row>
    <row r="127" spans="1:9" ht="15">
      <c r="A127" s="30"/>
      <c r="B127" s="31" t="s">
        <v>175</v>
      </c>
      <c r="C127" s="80">
        <f t="shared" si="22"/>
        <v>6552.1332000000002</v>
      </c>
      <c r="D127" s="80">
        <f t="shared" si="23"/>
        <v>8975.9935999087338</v>
      </c>
      <c r="E127" s="80">
        <f t="shared" si="23"/>
        <v>8002.2958790834136</v>
      </c>
      <c r="F127" s="80">
        <f t="shared" si="23"/>
        <v>7835.3138864403927</v>
      </c>
      <c r="G127" s="80">
        <f t="shared" si="23"/>
        <v>7486.8409848531346</v>
      </c>
      <c r="H127" s="80">
        <f t="shared" si="23"/>
        <v>7344.4027632707785</v>
      </c>
      <c r="I127" s="80">
        <f t="shared" si="23"/>
        <v>7382.7547359249347</v>
      </c>
    </row>
    <row r="128" spans="1:9" ht="15">
      <c r="A128" s="30"/>
      <c r="B128" s="31" t="s">
        <v>66</v>
      </c>
      <c r="C128" s="80">
        <f t="shared" si="22"/>
        <v>453.93864000000002</v>
      </c>
      <c r="D128" s="80">
        <f t="shared" si="23"/>
        <v>621.86622326165093</v>
      </c>
      <c r="E128" s="80">
        <f t="shared" si="23"/>
        <v>554.40742691689013</v>
      </c>
      <c r="F128" s="80">
        <f t="shared" si="23"/>
        <v>542.83873984489003</v>
      </c>
      <c r="G128" s="80">
        <f t="shared" si="23"/>
        <v>518.69617280681848</v>
      </c>
      <c r="H128" s="80">
        <f t="shared" si="23"/>
        <v>508.82790386058991</v>
      </c>
      <c r="I128" s="80">
        <f t="shared" si="23"/>
        <v>511.48496863270788</v>
      </c>
    </row>
    <row r="129" spans="1:18" ht="15">
      <c r="A129" s="30"/>
      <c r="B129" s="31" t="s">
        <v>176</v>
      </c>
      <c r="C129" s="80">
        <f t="shared" si="22"/>
        <v>831.6</v>
      </c>
      <c r="D129" s="80">
        <f t="shared" si="23"/>
        <v>1194.8936170212767</v>
      </c>
      <c r="E129" s="80">
        <f t="shared" si="23"/>
        <v>1059.6226415094338</v>
      </c>
      <c r="F129" s="80">
        <f t="shared" si="23"/>
        <v>967.53445635528328</v>
      </c>
      <c r="G129" s="80">
        <f t="shared" si="23"/>
        <v>858.34061135371178</v>
      </c>
      <c r="H129" s="80">
        <f t="shared" si="23"/>
        <v>777.78409090909088</v>
      </c>
      <c r="I129" s="80">
        <f t="shared" si="23"/>
        <v>717.95454545454538</v>
      </c>
    </row>
    <row r="130" spans="1:18" ht="15">
      <c r="A130" s="30"/>
      <c r="B130" s="31" t="s">
        <v>52</v>
      </c>
      <c r="C130" s="80">
        <f t="shared" si="22"/>
        <v>13275.564</v>
      </c>
      <c r="D130" s="80">
        <f t="shared" si="23"/>
        <v>18186.653699161492</v>
      </c>
      <c r="E130" s="80">
        <f t="shared" si="23"/>
        <v>16213.802107946785</v>
      </c>
      <c r="F130" s="80">
        <f t="shared" si="23"/>
        <v>15875.472580369425</v>
      </c>
      <c r="G130" s="80">
        <f t="shared" si="23"/>
        <v>15169.416374539031</v>
      </c>
      <c r="H130" s="80">
        <f t="shared" si="23"/>
        <v>14880.816056300271</v>
      </c>
      <c r="I130" s="80">
        <f t="shared" si="23"/>
        <v>14958.522667560326</v>
      </c>
    </row>
    <row r="132" spans="1:18">
      <c r="A132" s="30"/>
      <c r="B132" s="84" t="s">
        <v>47</v>
      </c>
      <c r="C132" s="85">
        <f t="shared" ref="C132:I132" si="24">SUM(C110:C130)</f>
        <v>106762.03584</v>
      </c>
      <c r="D132" s="85">
        <f t="shared" si="24"/>
        <v>164280.0796837032</v>
      </c>
      <c r="E132" s="85">
        <f t="shared" si="24"/>
        <v>146705.88096430368</v>
      </c>
      <c r="F132" s="85">
        <f t="shared" si="24"/>
        <v>127643.56340732885</v>
      </c>
      <c r="G132" s="85">
        <f t="shared" si="24"/>
        <v>121900.49655993351</v>
      </c>
      <c r="H132" s="85">
        <f t="shared" si="24"/>
        <v>119517.09569369731</v>
      </c>
      <c r="I132" s="85">
        <f t="shared" si="24"/>
        <v>120077.31477280043</v>
      </c>
    </row>
    <row r="134" spans="1:18" ht="23.25" thickBot="1">
      <c r="B134" s="40" t="s">
        <v>184</v>
      </c>
    </row>
    <row r="135" spans="1:18">
      <c r="C135" s="192" t="s">
        <v>22</v>
      </c>
      <c r="D135" s="192" t="s">
        <v>98</v>
      </c>
      <c r="E135" s="192" t="s">
        <v>99</v>
      </c>
      <c r="F135" s="192" t="s">
        <v>100</v>
      </c>
      <c r="G135" s="192" t="s">
        <v>101</v>
      </c>
      <c r="H135" s="192" t="s">
        <v>102</v>
      </c>
      <c r="I135" s="192" t="s">
        <v>103</v>
      </c>
      <c r="J135" s="44"/>
      <c r="M135" s="45"/>
      <c r="N135" s="46"/>
      <c r="O135" s="45"/>
      <c r="P135" s="45"/>
      <c r="Q135" s="45"/>
      <c r="R135" s="45"/>
    </row>
    <row r="136" spans="1:18">
      <c r="A136" s="72" t="s">
        <v>161</v>
      </c>
    </row>
    <row r="137" spans="1:18" ht="15">
      <c r="A137" s="30"/>
      <c r="B137" s="31" t="s">
        <v>30</v>
      </c>
      <c r="C137" s="80">
        <f t="shared" ref="C137:C142" si="25">C$18*C82</f>
        <v>0</v>
      </c>
      <c r="D137" s="80">
        <f t="shared" ref="D137:I142" si="26">D$18*D82</f>
        <v>0</v>
      </c>
      <c r="E137" s="80">
        <f t="shared" si="26"/>
        <v>0</v>
      </c>
      <c r="F137" s="80">
        <f t="shared" si="26"/>
        <v>0</v>
      </c>
      <c r="G137" s="80">
        <f t="shared" si="26"/>
        <v>0</v>
      </c>
      <c r="H137" s="80">
        <f t="shared" si="26"/>
        <v>0</v>
      </c>
      <c r="I137" s="80">
        <f t="shared" si="26"/>
        <v>0</v>
      </c>
    </row>
    <row r="138" spans="1:18" ht="15">
      <c r="A138" s="30"/>
      <c r="B138" s="31" t="s">
        <v>68</v>
      </c>
      <c r="C138" s="80">
        <f t="shared" si="25"/>
        <v>0</v>
      </c>
      <c r="D138" s="80">
        <f t="shared" si="26"/>
        <v>0</v>
      </c>
      <c r="E138" s="80">
        <f t="shared" si="26"/>
        <v>0</v>
      </c>
      <c r="F138" s="80">
        <f t="shared" si="26"/>
        <v>0</v>
      </c>
      <c r="G138" s="80">
        <f t="shared" si="26"/>
        <v>0</v>
      </c>
      <c r="H138" s="80">
        <f t="shared" si="26"/>
        <v>0</v>
      </c>
      <c r="I138" s="80">
        <f t="shared" si="26"/>
        <v>0</v>
      </c>
    </row>
    <row r="139" spans="1:18" ht="15">
      <c r="A139" s="30"/>
      <c r="B139" s="31" t="s">
        <v>175</v>
      </c>
      <c r="C139" s="80">
        <f t="shared" si="25"/>
        <v>0</v>
      </c>
      <c r="D139" s="80">
        <f t="shared" si="26"/>
        <v>0</v>
      </c>
      <c r="E139" s="80">
        <f t="shared" si="26"/>
        <v>0</v>
      </c>
      <c r="F139" s="80">
        <f t="shared" si="26"/>
        <v>0</v>
      </c>
      <c r="G139" s="80">
        <f t="shared" si="26"/>
        <v>0</v>
      </c>
      <c r="H139" s="80">
        <f t="shared" si="26"/>
        <v>0</v>
      </c>
      <c r="I139" s="80">
        <f t="shared" si="26"/>
        <v>0</v>
      </c>
    </row>
    <row r="140" spans="1:18" ht="15">
      <c r="A140" s="30"/>
      <c r="B140" s="31" t="s">
        <v>66</v>
      </c>
      <c r="C140" s="80">
        <f t="shared" si="25"/>
        <v>0</v>
      </c>
      <c r="D140" s="80">
        <f t="shared" si="26"/>
        <v>0</v>
      </c>
      <c r="E140" s="80">
        <f t="shared" si="26"/>
        <v>0</v>
      </c>
      <c r="F140" s="80">
        <f t="shared" si="26"/>
        <v>0</v>
      </c>
      <c r="G140" s="80">
        <f t="shared" si="26"/>
        <v>0</v>
      </c>
      <c r="H140" s="80">
        <f t="shared" si="26"/>
        <v>0</v>
      </c>
      <c r="I140" s="80">
        <f t="shared" si="26"/>
        <v>0</v>
      </c>
    </row>
    <row r="141" spans="1:18" ht="15">
      <c r="A141" s="30"/>
      <c r="B141" s="31" t="s">
        <v>176</v>
      </c>
      <c r="C141" s="80">
        <f t="shared" si="25"/>
        <v>0</v>
      </c>
      <c r="D141" s="80">
        <f t="shared" si="26"/>
        <v>0</v>
      </c>
      <c r="E141" s="80">
        <f t="shared" si="26"/>
        <v>0</v>
      </c>
      <c r="F141" s="80">
        <f t="shared" si="26"/>
        <v>0</v>
      </c>
      <c r="G141" s="80">
        <f t="shared" si="26"/>
        <v>0</v>
      </c>
      <c r="H141" s="80">
        <f t="shared" si="26"/>
        <v>0</v>
      </c>
      <c r="I141" s="80">
        <f t="shared" si="26"/>
        <v>0</v>
      </c>
    </row>
    <row r="142" spans="1:18" ht="15">
      <c r="A142" s="30"/>
      <c r="B142" s="31" t="s">
        <v>52</v>
      </c>
      <c r="C142" s="80">
        <f t="shared" si="25"/>
        <v>0</v>
      </c>
      <c r="D142" s="80">
        <f t="shared" si="26"/>
        <v>0</v>
      </c>
      <c r="E142" s="80">
        <f t="shared" si="26"/>
        <v>0</v>
      </c>
      <c r="F142" s="80">
        <f t="shared" si="26"/>
        <v>0</v>
      </c>
      <c r="G142" s="80">
        <f t="shared" si="26"/>
        <v>0</v>
      </c>
      <c r="H142" s="80">
        <f t="shared" si="26"/>
        <v>0</v>
      </c>
      <c r="I142" s="80">
        <f t="shared" si="26"/>
        <v>0</v>
      </c>
    </row>
    <row r="144" spans="1:18">
      <c r="A144" s="72" t="s">
        <v>163</v>
      </c>
    </row>
    <row r="145" spans="1:9" ht="15">
      <c r="A145" s="30"/>
      <c r="B145" s="31" t="s">
        <v>67</v>
      </c>
      <c r="C145" s="80">
        <f>C$18*C90</f>
        <v>0</v>
      </c>
      <c r="D145" s="80">
        <f t="shared" ref="D145:I149" si="27">D$18*D90</f>
        <v>6427.552168576105</v>
      </c>
      <c r="E145" s="80">
        <f t="shared" si="27"/>
        <v>8230.4599056603784</v>
      </c>
      <c r="F145" s="80">
        <f t="shared" si="27"/>
        <v>0</v>
      </c>
      <c r="G145" s="80">
        <f t="shared" si="27"/>
        <v>0</v>
      </c>
      <c r="H145" s="80">
        <f t="shared" si="27"/>
        <v>0</v>
      </c>
      <c r="I145" s="80">
        <f t="shared" si="27"/>
        <v>0</v>
      </c>
    </row>
    <row r="146" spans="1:9" ht="15">
      <c r="A146" s="30"/>
      <c r="B146" s="31" t="s">
        <v>175</v>
      </c>
      <c r="C146" s="80">
        <f>C$18*C91</f>
        <v>0</v>
      </c>
      <c r="D146" s="80">
        <f t="shared" si="27"/>
        <v>491.70774089607204</v>
      </c>
      <c r="E146" s="80">
        <f t="shared" si="27"/>
        <v>629.63018278301888</v>
      </c>
      <c r="F146" s="80">
        <f t="shared" si="27"/>
        <v>0</v>
      </c>
      <c r="G146" s="80">
        <f t="shared" si="27"/>
        <v>0</v>
      </c>
      <c r="H146" s="80">
        <f t="shared" si="27"/>
        <v>0</v>
      </c>
      <c r="I146" s="80">
        <f t="shared" si="27"/>
        <v>0</v>
      </c>
    </row>
    <row r="147" spans="1:9" ht="15">
      <c r="A147" s="30"/>
      <c r="B147" s="31" t="s">
        <v>66</v>
      </c>
      <c r="C147" s="80">
        <f>C$18*C92</f>
        <v>0</v>
      </c>
      <c r="D147" s="80">
        <f t="shared" si="27"/>
        <v>34.066026493453357</v>
      </c>
      <c r="E147" s="80">
        <f t="shared" si="27"/>
        <v>43.621437500000006</v>
      </c>
      <c r="F147" s="80">
        <f t="shared" si="27"/>
        <v>0</v>
      </c>
      <c r="G147" s="80">
        <f t="shared" si="27"/>
        <v>0</v>
      </c>
      <c r="H147" s="80">
        <f t="shared" si="27"/>
        <v>0</v>
      </c>
      <c r="I147" s="80">
        <f t="shared" si="27"/>
        <v>0</v>
      </c>
    </row>
    <row r="148" spans="1:9" ht="15">
      <c r="A148" s="30"/>
      <c r="B148" s="31" t="s">
        <v>176</v>
      </c>
      <c r="C148" s="80">
        <f>C$18*C93</f>
        <v>0</v>
      </c>
      <c r="D148" s="80">
        <f t="shared" si="27"/>
        <v>66.638297872340431</v>
      </c>
      <c r="E148" s="80">
        <f t="shared" si="27"/>
        <v>83.547169811320757</v>
      </c>
      <c r="F148" s="80">
        <f t="shared" si="27"/>
        <v>0</v>
      </c>
      <c r="G148" s="80">
        <f t="shared" si="27"/>
        <v>0</v>
      </c>
      <c r="H148" s="80">
        <f t="shared" si="27"/>
        <v>0</v>
      </c>
      <c r="I148" s="80">
        <f t="shared" si="27"/>
        <v>0</v>
      </c>
    </row>
    <row r="149" spans="1:9" ht="15">
      <c r="A149" s="30"/>
      <c r="B149" s="31" t="s">
        <v>52</v>
      </c>
      <c r="C149" s="80">
        <f>C$18*C94</f>
        <v>0</v>
      </c>
      <c r="D149" s="80">
        <f t="shared" si="27"/>
        <v>996.27058612929636</v>
      </c>
      <c r="E149" s="80">
        <f t="shared" si="27"/>
        <v>1275.7212853773588</v>
      </c>
      <c r="F149" s="80">
        <f t="shared" si="27"/>
        <v>0</v>
      </c>
      <c r="G149" s="80">
        <f t="shared" si="27"/>
        <v>0</v>
      </c>
      <c r="H149" s="80">
        <f t="shared" si="27"/>
        <v>0</v>
      </c>
      <c r="I149" s="80">
        <f t="shared" si="27"/>
        <v>0</v>
      </c>
    </row>
    <row r="151" spans="1:9">
      <c r="A151" s="72" t="s">
        <v>282</v>
      </c>
    </row>
    <row r="152" spans="1:9" ht="15">
      <c r="A152" s="30"/>
      <c r="B152" s="31" t="s">
        <v>182</v>
      </c>
      <c r="C152" s="80">
        <f t="shared" ref="C152:C157" si="28">C$18*C97</f>
        <v>0</v>
      </c>
      <c r="D152" s="80">
        <f t="shared" ref="D152:I157" si="29">D$18*D97</f>
        <v>23679.225372197823</v>
      </c>
      <c r="E152" s="80">
        <f t="shared" si="29"/>
        <v>29845.950933279382</v>
      </c>
      <c r="F152" s="80">
        <f t="shared" si="29"/>
        <v>31242.649466886189</v>
      </c>
      <c r="G152" s="80">
        <f t="shared" si="29"/>
        <v>33712.48505566809</v>
      </c>
      <c r="H152" s="80">
        <f t="shared" si="29"/>
        <v>34964.058798440179</v>
      </c>
      <c r="I152" s="80">
        <f t="shared" si="29"/>
        <v>35146.6387399464</v>
      </c>
    </row>
    <row r="153" spans="1:9" ht="15">
      <c r="A153" s="30"/>
      <c r="B153" s="31" t="s">
        <v>69</v>
      </c>
      <c r="C153" s="80">
        <f t="shared" si="28"/>
        <v>0</v>
      </c>
      <c r="D153" s="80">
        <f t="shared" si="29"/>
        <v>28669.455250698764</v>
      </c>
      <c r="E153" s="80">
        <f t="shared" si="29"/>
        <v>36135.774766553695</v>
      </c>
      <c r="F153" s="80">
        <f t="shared" si="29"/>
        <v>37826.817673513462</v>
      </c>
      <c r="G153" s="80">
        <f t="shared" si="29"/>
        <v>40817.153707575781</v>
      </c>
      <c r="H153" s="80">
        <f t="shared" si="29"/>
        <v>42332.487796734102</v>
      </c>
      <c r="I153" s="80">
        <f t="shared" si="29"/>
        <v>42553.545174262741</v>
      </c>
    </row>
    <row r="154" spans="1:9" ht="15">
      <c r="A154" s="30"/>
      <c r="B154" s="31" t="s">
        <v>175</v>
      </c>
      <c r="C154" s="80">
        <f t="shared" si="28"/>
        <v>0</v>
      </c>
      <c r="D154" s="80">
        <f t="shared" si="29"/>
        <v>4004.6740676515892</v>
      </c>
      <c r="E154" s="80">
        <f t="shared" si="29"/>
        <v>5047.6020160372309</v>
      </c>
      <c r="F154" s="80">
        <f t="shared" si="29"/>
        <v>5283.8142362405733</v>
      </c>
      <c r="G154" s="80">
        <f t="shared" si="29"/>
        <v>5701.5173653881566</v>
      </c>
      <c r="H154" s="80">
        <f t="shared" si="29"/>
        <v>5913.1858145308324</v>
      </c>
      <c r="I154" s="80">
        <f t="shared" si="29"/>
        <v>5944.0640694369995</v>
      </c>
    </row>
    <row r="155" spans="1:9" ht="15">
      <c r="A155" s="30"/>
      <c r="B155" s="31" t="s">
        <v>66</v>
      </c>
      <c r="C155" s="80">
        <f t="shared" si="28"/>
        <v>0</v>
      </c>
      <c r="D155" s="80">
        <f t="shared" si="29"/>
        <v>277.44800730135194</v>
      </c>
      <c r="E155" s="80">
        <f t="shared" si="29"/>
        <v>349.70314620911535</v>
      </c>
      <c r="F155" s="80">
        <f t="shared" si="29"/>
        <v>366.06817584411817</v>
      </c>
      <c r="G155" s="80">
        <f t="shared" si="29"/>
        <v>395.00708544519256</v>
      </c>
      <c r="H155" s="80">
        <f t="shared" si="29"/>
        <v>409.67169695442374</v>
      </c>
      <c r="I155" s="80">
        <f t="shared" si="29"/>
        <v>411.81097474530844</v>
      </c>
    </row>
    <row r="156" spans="1:9" ht="15">
      <c r="A156" s="30"/>
      <c r="B156" s="31" t="s">
        <v>176</v>
      </c>
      <c r="C156" s="80">
        <f t="shared" si="28"/>
        <v>0</v>
      </c>
      <c r="D156" s="80">
        <f t="shared" si="29"/>
        <v>533.10638297872345</v>
      </c>
      <c r="E156" s="80">
        <f t="shared" si="29"/>
        <v>668.37735849056605</v>
      </c>
      <c r="F156" s="80">
        <f t="shared" si="29"/>
        <v>652.46554364471672</v>
      </c>
      <c r="G156" s="80">
        <f t="shared" si="29"/>
        <v>653.65938864628822</v>
      </c>
      <c r="H156" s="80">
        <f t="shared" si="29"/>
        <v>626.21590909090912</v>
      </c>
      <c r="I156" s="80">
        <f t="shared" si="29"/>
        <v>578.04545454545462</v>
      </c>
    </row>
    <row r="157" spans="1:9" ht="15">
      <c r="A157" s="30"/>
      <c r="B157" s="31" t="s">
        <v>52</v>
      </c>
      <c r="C157" s="80">
        <f t="shared" si="28"/>
        <v>0</v>
      </c>
      <c r="D157" s="80">
        <f t="shared" si="29"/>
        <v>8114.0454965489726</v>
      </c>
      <c r="E157" s="80">
        <f t="shared" si="29"/>
        <v>10227.167483474126</v>
      </c>
      <c r="F157" s="80">
        <f t="shared" si="29"/>
        <v>10705.767406761946</v>
      </c>
      <c r="G157" s="80">
        <f t="shared" si="29"/>
        <v>11552.094008302802</v>
      </c>
      <c r="H157" s="80">
        <f t="shared" si="29"/>
        <v>11980.964722252014</v>
      </c>
      <c r="I157" s="80">
        <f t="shared" si="29"/>
        <v>12043.528506702416</v>
      </c>
    </row>
    <row r="159" spans="1:9">
      <c r="A159" s="30"/>
      <c r="B159" s="84" t="s">
        <v>47</v>
      </c>
      <c r="C159" s="85">
        <f t="shared" ref="C159:I159" si="30">SUM(C137:C157)</f>
        <v>0</v>
      </c>
      <c r="D159" s="85">
        <f t="shared" si="30"/>
        <v>73294.189397344497</v>
      </c>
      <c r="E159" s="85">
        <f t="shared" si="30"/>
        <v>92537.555685176194</v>
      </c>
      <c r="F159" s="85">
        <f t="shared" si="30"/>
        <v>86077.582502891019</v>
      </c>
      <c r="G159" s="85">
        <f t="shared" si="30"/>
        <v>92831.916611026303</v>
      </c>
      <c r="H159" s="85">
        <f t="shared" si="30"/>
        <v>96226.584738002464</v>
      </c>
      <c r="I159" s="85">
        <f t="shared" si="30"/>
        <v>96677.63291963932</v>
      </c>
    </row>
  </sheetData>
  <sheetProtection password="DF03" sheet="1" objects="1" scenarios="1"/>
  <mergeCells count="44">
    <mergeCell ref="A47:B47"/>
    <mergeCell ref="B48:I48"/>
    <mergeCell ref="A49:B49"/>
    <mergeCell ref="A51:B51"/>
    <mergeCell ref="B52:I52"/>
    <mergeCell ref="A50:B50"/>
    <mergeCell ref="B68:I68"/>
    <mergeCell ref="A57:B57"/>
    <mergeCell ref="A58:B58"/>
    <mergeCell ref="A59:B59"/>
    <mergeCell ref="A60:B60"/>
    <mergeCell ref="B61:I61"/>
    <mergeCell ref="B65:I65"/>
    <mergeCell ref="A53:B53"/>
    <mergeCell ref="A55:B55"/>
    <mergeCell ref="B56:I56"/>
    <mergeCell ref="A62:B62"/>
    <mergeCell ref="A64:B64"/>
    <mergeCell ref="A54:B54"/>
    <mergeCell ref="A63:B63"/>
    <mergeCell ref="A46:B46"/>
    <mergeCell ref="B40:I40"/>
    <mergeCell ref="A41:B41"/>
    <mergeCell ref="A42:B42"/>
    <mergeCell ref="B34:I34"/>
    <mergeCell ref="A35:B35"/>
    <mergeCell ref="A36:B36"/>
    <mergeCell ref="A45:B45"/>
    <mergeCell ref="B43:I43"/>
    <mergeCell ref="B44:I44"/>
    <mergeCell ref="A39:B39"/>
    <mergeCell ref="A38:B38"/>
    <mergeCell ref="A23:B23"/>
    <mergeCell ref="B24:I24"/>
    <mergeCell ref="B31:I31"/>
    <mergeCell ref="A32:B32"/>
    <mergeCell ref="B37:I37"/>
    <mergeCell ref="A27:B27"/>
    <mergeCell ref="B28:I28"/>
    <mergeCell ref="A29:B29"/>
    <mergeCell ref="A30:B30"/>
    <mergeCell ref="B25:I25"/>
    <mergeCell ref="A26:B26"/>
    <mergeCell ref="A33:B33"/>
  </mergeCells>
  <pageMargins left="0.5" right="0.5" top="0.5" bottom="0.5" header="0.3" footer="0.3"/>
  <pageSetup orientation="landscape" r:id="rId1"/>
  <headerFooter>
    <oddFooter>&amp;LCorporate Staffing / Shared Staff&amp;CPinellas Preparatory Academy, Inc.&amp;RPage &amp;P or &amp;N</oddFooter>
  </headerFooter>
  <rowBreaks count="4" manualBreakCount="4">
    <brk id="43" max="16383" man="1"/>
    <brk id="77" max="16383" man="1"/>
    <brk id="106" max="16383" man="1"/>
    <brk id="1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4"/>
  <sheetViews>
    <sheetView showGridLines="0" view="pageLayout" zoomScaleNormal="100" workbookViewId="0"/>
  </sheetViews>
  <sheetFormatPr defaultRowHeight="12.75"/>
  <cols>
    <col min="1" max="1" width="14" style="26" customWidth="1"/>
    <col min="2" max="9" width="12.85546875" style="26" customWidth="1"/>
    <col min="10" max="10" width="11.85546875" style="26" bestFit="1" customWidth="1"/>
    <col min="11" max="16" width="4.7109375" style="26" bestFit="1" customWidth="1"/>
    <col min="17" max="17" width="8.28515625" style="26" bestFit="1" customWidth="1"/>
    <col min="18" max="18" width="8.7109375" style="26" bestFit="1" customWidth="1"/>
    <col min="19" max="16384" width="9.140625" style="26"/>
  </cols>
  <sheetData>
    <row r="1" spans="1:18" ht="27">
      <c r="A1" s="295" t="s">
        <v>545</v>
      </c>
      <c r="B1" s="295"/>
      <c r="C1" s="295"/>
      <c r="D1" s="295"/>
      <c r="E1" s="295"/>
      <c r="F1" s="295"/>
      <c r="G1" s="295"/>
      <c r="H1" s="295"/>
      <c r="I1" s="295"/>
    </row>
    <row r="2" spans="1:18">
      <c r="B2" s="27" t="s">
        <v>42</v>
      </c>
      <c r="J2" s="28"/>
      <c r="K2" s="29"/>
    </row>
    <row r="3" spans="1:18">
      <c r="B3" s="193" t="s">
        <v>45</v>
      </c>
      <c r="C3" s="192" t="s">
        <v>22</v>
      </c>
      <c r="D3" s="192" t="s">
        <v>98</v>
      </c>
      <c r="E3" s="192" t="s">
        <v>99</v>
      </c>
      <c r="F3" s="192" t="s">
        <v>100</v>
      </c>
      <c r="G3" s="192" t="s">
        <v>101</v>
      </c>
      <c r="H3" s="192" t="s">
        <v>102</v>
      </c>
      <c r="I3" s="192" t="s">
        <v>103</v>
      </c>
      <c r="J3" s="28"/>
      <c r="K3" s="29"/>
    </row>
    <row r="4" spans="1:18">
      <c r="B4" s="194" t="s">
        <v>468</v>
      </c>
      <c r="C4" s="197">
        <f>Combined!B10</f>
        <v>2481454.04</v>
      </c>
      <c r="D4" s="197">
        <f>Combined!C10</f>
        <v>2466474.1088</v>
      </c>
      <c r="E4" s="197">
        <f>Combined!D10</f>
        <v>2475847.8210960003</v>
      </c>
      <c r="F4" s="197">
        <f>Combined!E10</f>
        <v>2486553.00881832</v>
      </c>
      <c r="G4" s="197">
        <f>Combined!F10</f>
        <v>2498243.7596569546</v>
      </c>
      <c r="H4" s="197">
        <f>Combined!G10</f>
        <v>2511101.2403439395</v>
      </c>
      <c r="I4" s="197">
        <f>Combined!H10</f>
        <v>2525053.1323905606</v>
      </c>
      <c r="J4" s="28"/>
      <c r="K4" s="29"/>
    </row>
    <row r="5" spans="1:18" ht="13.5" thickBot="1">
      <c r="B5" s="195" t="s">
        <v>469</v>
      </c>
      <c r="C5" s="165">
        <f>Combined!B11</f>
        <v>2491374.6587593649</v>
      </c>
      <c r="D5" s="165">
        <f>Combined!C11</f>
        <v>2454934.7158448631</v>
      </c>
      <c r="E5" s="165">
        <f>Combined!D11</f>
        <v>2473483.6744637955</v>
      </c>
      <c r="F5" s="165">
        <f>Combined!E11</f>
        <v>2572276.0881462907</v>
      </c>
      <c r="G5" s="165">
        <f>Combined!F11</f>
        <v>2577950.2565252045</v>
      </c>
      <c r="H5" s="165">
        <f>Combined!G11</f>
        <v>2564082.7580324328</v>
      </c>
      <c r="I5" s="165">
        <f>Combined!H11</f>
        <v>2601360.873841804</v>
      </c>
      <c r="J5" s="28"/>
      <c r="K5" s="29"/>
    </row>
    <row r="6" spans="1:18" ht="13.5" thickBot="1">
      <c r="B6" s="166" t="s">
        <v>470</v>
      </c>
      <c r="C6" s="167">
        <f>Combined!B12</f>
        <v>-9920.618759364821</v>
      </c>
      <c r="D6" s="167">
        <f>Combined!C12</f>
        <v>11539.392955136951</v>
      </c>
      <c r="E6" s="167">
        <f>Combined!D12</f>
        <v>2364.1466322047636</v>
      </c>
      <c r="F6" s="167">
        <f>Combined!E12</f>
        <v>-85723.079327970743</v>
      </c>
      <c r="G6" s="167">
        <f>Combined!F12</f>
        <v>-79706.49686824996</v>
      </c>
      <c r="H6" s="167">
        <f>Combined!G12</f>
        <v>-52981.517688493244</v>
      </c>
      <c r="I6" s="167">
        <f>Combined!H12</f>
        <v>-76307.741451243404</v>
      </c>
      <c r="J6" s="28"/>
      <c r="K6" s="29"/>
    </row>
    <row r="7" spans="1:18" ht="13.5" thickTop="1">
      <c r="B7" s="194" t="s">
        <v>472</v>
      </c>
      <c r="C7" s="197">
        <f>Combined!B5</f>
        <v>0</v>
      </c>
      <c r="D7" s="197">
        <f>Combined!C5</f>
        <v>1252328.7231999999</v>
      </c>
      <c r="E7" s="197">
        <f>Combined!D5</f>
        <v>1781024.786176</v>
      </c>
      <c r="F7" s="197">
        <f>Combined!E5</f>
        <v>1915060.8153737602</v>
      </c>
      <c r="G7" s="197">
        <f>Combined!F5</f>
        <v>2174233.4414608451</v>
      </c>
      <c r="H7" s="197">
        <f>Combined!G5</f>
        <v>2312229.8141044201</v>
      </c>
      <c r="I7" s="197">
        <f>Combined!H5</f>
        <v>2327082.1454618643</v>
      </c>
      <c r="J7" s="28"/>
      <c r="K7" s="29"/>
    </row>
    <row r="8" spans="1:18" ht="13.5" thickBot="1">
      <c r="B8" s="195" t="s">
        <v>473</v>
      </c>
      <c r="C8" s="165">
        <f>Combined!B6</f>
        <v>15745.9</v>
      </c>
      <c r="D8" s="165">
        <f>Combined!C6</f>
        <v>1324448.1186986249</v>
      </c>
      <c r="E8" s="165">
        <f>Combined!D6</f>
        <v>1699782.3793936544</v>
      </c>
      <c r="F8" s="165">
        <f>Combined!E6</f>
        <v>1845775.9388543332</v>
      </c>
      <c r="G8" s="165">
        <f>Combined!F6</f>
        <v>2108593.5856019137</v>
      </c>
      <c r="H8" s="165">
        <f>Combined!G6</f>
        <v>2216548.3861227771</v>
      </c>
      <c r="I8" s="165">
        <f>Combined!H6</f>
        <v>2276941.2047650977</v>
      </c>
      <c r="J8" s="28"/>
      <c r="K8" s="29"/>
    </row>
    <row r="9" spans="1:18" ht="13.5" thickBot="1">
      <c r="B9" s="166" t="s">
        <v>474</v>
      </c>
      <c r="C9" s="167">
        <f>Combined!B7</f>
        <v>-15745.9</v>
      </c>
      <c r="D9" s="167">
        <f>Combined!C7</f>
        <v>-72119.395498625003</v>
      </c>
      <c r="E9" s="167">
        <f>Combined!D7</f>
        <v>81242.406782345613</v>
      </c>
      <c r="F9" s="167">
        <f>Combined!E7</f>
        <v>69284.876519426936</v>
      </c>
      <c r="G9" s="167">
        <f>Combined!F7</f>
        <v>65639.855858931318</v>
      </c>
      <c r="H9" s="167">
        <f>Combined!G7</f>
        <v>95681.427981643006</v>
      </c>
      <c r="I9" s="167">
        <f>Combined!H7</f>
        <v>50140.9406967666</v>
      </c>
      <c r="J9" s="28"/>
      <c r="K9" s="29"/>
    </row>
    <row r="10" spans="1:18" ht="13.5" thickTop="1">
      <c r="B10" s="168" t="s">
        <v>471</v>
      </c>
      <c r="C10" s="169">
        <f>Combined!B28</f>
        <v>635.36344863520935</v>
      </c>
      <c r="D10" s="169">
        <f>Combined!C28</f>
        <v>4088.3836645120755</v>
      </c>
      <c r="E10" s="169">
        <f>Combined!D28</f>
        <v>159558.14362255018</v>
      </c>
      <c r="F10" s="169">
        <f>Combined!E28</f>
        <v>58755.307399456389</v>
      </c>
      <c r="G10" s="169">
        <f>Combined!F28</f>
        <v>71968.6691986816</v>
      </c>
      <c r="H10" s="169">
        <f>Combined!G28</f>
        <v>132388.22050115</v>
      </c>
      <c r="I10" s="169">
        <f>Combined!H28</f>
        <v>63737.509453523904</v>
      </c>
      <c r="J10" s="28"/>
      <c r="K10" s="29"/>
    </row>
    <row r="12" spans="1:18" ht="23.25" thickBot="1">
      <c r="A12" s="34" t="s">
        <v>541</v>
      </c>
      <c r="B12" s="35"/>
      <c r="C12" s="35"/>
      <c r="D12" s="35"/>
      <c r="E12" s="35"/>
      <c r="F12" s="35"/>
      <c r="G12" s="35"/>
      <c r="H12" s="35"/>
      <c r="I12" s="35"/>
    </row>
    <row r="13" spans="1:18">
      <c r="B13" s="54"/>
      <c r="C13" s="192" t="s">
        <v>22</v>
      </c>
      <c r="D13" s="192" t="s">
        <v>98</v>
      </c>
      <c r="E13" s="192" t="s">
        <v>99</v>
      </c>
      <c r="F13" s="192" t="s">
        <v>100</v>
      </c>
      <c r="G13" s="192" t="s">
        <v>101</v>
      </c>
      <c r="H13" s="192" t="s">
        <v>102</v>
      </c>
      <c r="I13" s="192" t="s">
        <v>103</v>
      </c>
      <c r="K13" s="249"/>
      <c r="L13" s="249"/>
      <c r="M13" s="249"/>
      <c r="N13" s="249"/>
      <c r="O13" s="249"/>
      <c r="P13" s="249"/>
      <c r="Q13" s="249"/>
      <c r="R13" s="249"/>
    </row>
    <row r="14" spans="1:18">
      <c r="A14" s="408" t="s">
        <v>114</v>
      </c>
      <c r="B14" s="408"/>
      <c r="C14" s="225">
        <f>SUM(C15:C17)</f>
        <v>18</v>
      </c>
      <c r="D14" s="225">
        <f t="shared" ref="D14:I14" si="0">SUM(D15:D17)</f>
        <v>28</v>
      </c>
      <c r="E14" s="225">
        <f t="shared" si="0"/>
        <v>32</v>
      </c>
      <c r="F14" s="225">
        <f t="shared" si="0"/>
        <v>33</v>
      </c>
      <c r="G14" s="225">
        <f t="shared" si="0"/>
        <v>35</v>
      </c>
      <c r="H14" s="225">
        <f t="shared" si="0"/>
        <v>36</v>
      </c>
      <c r="I14" s="225">
        <f t="shared" si="0"/>
        <v>36</v>
      </c>
    </row>
    <row r="15" spans="1:18" s="224" customFormat="1" ht="9">
      <c r="B15" s="226" t="s">
        <v>50</v>
      </c>
      <c r="C15" s="227">
        <f>'PPA-Staff'!C31</f>
        <v>18</v>
      </c>
      <c r="D15" s="227">
        <f>'PPA-Staff'!D31</f>
        <v>18</v>
      </c>
      <c r="E15" s="227">
        <f>'PPA-Staff'!E31</f>
        <v>18</v>
      </c>
      <c r="F15" s="227">
        <f>'PPA-Staff'!F31</f>
        <v>18</v>
      </c>
      <c r="G15" s="227">
        <f>'PPA-Staff'!G31</f>
        <v>18</v>
      </c>
      <c r="H15" s="227">
        <f>'PPA-Staff'!H31</f>
        <v>18</v>
      </c>
      <c r="I15" s="227">
        <f>'PPA-Staff'!I31</f>
        <v>18</v>
      </c>
    </row>
    <row r="16" spans="1:18" s="224" customFormat="1" ht="9">
      <c r="B16" s="226" t="s">
        <v>144</v>
      </c>
      <c r="C16" s="227">
        <f>'PPAJr-Staff'!C49</f>
        <v>0</v>
      </c>
      <c r="D16" s="227">
        <f>'PPAJr-Staff'!D49</f>
        <v>10</v>
      </c>
      <c r="E16" s="227">
        <f>'PPAJr-Staff'!E49</f>
        <v>14</v>
      </c>
      <c r="F16" s="227">
        <f>'PPAJr-Staff'!F49</f>
        <v>15</v>
      </c>
      <c r="G16" s="227">
        <f>'PPAJr-Staff'!G49</f>
        <v>17</v>
      </c>
      <c r="H16" s="227">
        <f>'PPAJr-Staff'!H49</f>
        <v>18</v>
      </c>
      <c r="I16" s="227">
        <f>'PPAJr-Staff'!I49</f>
        <v>18</v>
      </c>
      <c r="K16" s="250"/>
      <c r="L16" s="250"/>
      <c r="M16" s="250"/>
      <c r="N16" s="250"/>
      <c r="O16" s="250"/>
      <c r="P16" s="250"/>
    </row>
    <row r="17" spans="1:16" s="224" customFormat="1" ht="9">
      <c r="B17" s="226" t="s">
        <v>527</v>
      </c>
      <c r="C17" s="227"/>
      <c r="D17" s="227"/>
      <c r="E17" s="227"/>
      <c r="F17" s="227"/>
      <c r="G17" s="227"/>
      <c r="H17" s="227"/>
      <c r="I17" s="227"/>
    </row>
    <row r="18" spans="1:16">
      <c r="A18" s="408" t="s">
        <v>115</v>
      </c>
      <c r="B18" s="408"/>
      <c r="C18" s="225">
        <f>SUM(C19:C21)</f>
        <v>1</v>
      </c>
      <c r="D18" s="225">
        <f t="shared" ref="D18:I18" si="1">SUM(D19:D21)</f>
        <v>1.4</v>
      </c>
      <c r="E18" s="225">
        <f t="shared" si="1"/>
        <v>1.5</v>
      </c>
      <c r="F18" s="225">
        <f t="shared" si="1"/>
        <v>1.5</v>
      </c>
      <c r="G18" s="225">
        <f t="shared" si="1"/>
        <v>1.6</v>
      </c>
      <c r="H18" s="225">
        <f t="shared" si="1"/>
        <v>1.6</v>
      </c>
      <c r="I18" s="225">
        <f t="shared" si="1"/>
        <v>1.6</v>
      </c>
    </row>
    <row r="19" spans="1:16" s="224" customFormat="1" ht="9">
      <c r="B19" s="226" t="s">
        <v>50</v>
      </c>
      <c r="C19" s="227">
        <f>'PPA-Staff'!C32</f>
        <v>1</v>
      </c>
      <c r="D19" s="227">
        <f>'PPA-Staff'!D32</f>
        <v>1</v>
      </c>
      <c r="E19" s="227">
        <f>'PPA-Staff'!E32</f>
        <v>1</v>
      </c>
      <c r="F19" s="227">
        <f>'PPA-Staff'!F32</f>
        <v>1</v>
      </c>
      <c r="G19" s="227">
        <f>'PPA-Staff'!G32</f>
        <v>1</v>
      </c>
      <c r="H19" s="227">
        <f>'PPA-Staff'!H32</f>
        <v>1</v>
      </c>
      <c r="I19" s="227">
        <f>'PPA-Staff'!I32</f>
        <v>1</v>
      </c>
    </row>
    <row r="20" spans="1:16" s="224" customFormat="1" ht="9">
      <c r="B20" s="226" t="s">
        <v>144</v>
      </c>
      <c r="C20" s="227">
        <f>'PPAJr-Staff'!C53</f>
        <v>0</v>
      </c>
      <c r="D20" s="227">
        <f>'PPAJr-Staff'!D53</f>
        <v>0.4</v>
      </c>
      <c r="E20" s="227">
        <f>'PPAJr-Staff'!E53</f>
        <v>0.5</v>
      </c>
      <c r="F20" s="227">
        <f>'PPAJr-Staff'!F53</f>
        <v>0.5</v>
      </c>
      <c r="G20" s="227">
        <f>'PPAJr-Staff'!G53</f>
        <v>0.6</v>
      </c>
      <c r="H20" s="227">
        <f>'PPAJr-Staff'!H53</f>
        <v>0.6</v>
      </c>
      <c r="I20" s="227">
        <f>'PPAJr-Staff'!I53</f>
        <v>0.6</v>
      </c>
      <c r="K20" s="250"/>
      <c r="L20" s="250"/>
      <c r="M20" s="250"/>
      <c r="N20" s="250"/>
      <c r="O20" s="250"/>
      <c r="P20" s="250"/>
    </row>
    <row r="21" spans="1:16" s="224" customFormat="1" ht="9">
      <c r="B21" s="226" t="s">
        <v>527</v>
      </c>
      <c r="C21" s="227"/>
      <c r="D21" s="227"/>
      <c r="E21" s="227"/>
      <c r="F21" s="227"/>
      <c r="G21" s="227"/>
      <c r="H21" s="227"/>
      <c r="I21" s="227"/>
    </row>
    <row r="22" spans="1:16">
      <c r="A22" s="408" t="s">
        <v>116</v>
      </c>
      <c r="B22" s="408"/>
      <c r="C22" s="225">
        <f>SUM(C23:C25)</f>
        <v>1</v>
      </c>
      <c r="D22" s="225">
        <f t="shared" ref="D22:I22" si="2">SUM(D23:D25)</f>
        <v>1.4</v>
      </c>
      <c r="E22" s="225">
        <f t="shared" si="2"/>
        <v>1.5</v>
      </c>
      <c r="F22" s="225">
        <f t="shared" si="2"/>
        <v>1.5</v>
      </c>
      <c r="G22" s="225">
        <f t="shared" si="2"/>
        <v>1.6</v>
      </c>
      <c r="H22" s="225">
        <f t="shared" si="2"/>
        <v>1.6</v>
      </c>
      <c r="I22" s="225">
        <f t="shared" si="2"/>
        <v>1.6</v>
      </c>
    </row>
    <row r="23" spans="1:16" s="224" customFormat="1" ht="9">
      <c r="B23" s="226" t="s">
        <v>50</v>
      </c>
      <c r="C23" s="227">
        <f>'PPA-Staff'!C33</f>
        <v>1</v>
      </c>
      <c r="D23" s="227">
        <f>'PPA-Staff'!D33</f>
        <v>1</v>
      </c>
      <c r="E23" s="227">
        <f>'PPA-Staff'!E33</f>
        <v>1</v>
      </c>
      <c r="F23" s="227">
        <f>'PPA-Staff'!F33</f>
        <v>1</v>
      </c>
      <c r="G23" s="227">
        <f>'PPA-Staff'!G33</f>
        <v>1</v>
      </c>
      <c r="H23" s="227">
        <f>'PPA-Staff'!H33</f>
        <v>1</v>
      </c>
      <c r="I23" s="227">
        <f>'PPA-Staff'!I33</f>
        <v>1</v>
      </c>
    </row>
    <row r="24" spans="1:16" s="224" customFormat="1" ht="9">
      <c r="B24" s="226" t="s">
        <v>144</v>
      </c>
      <c r="C24" s="227">
        <f>'PPAJr-Staff'!C54</f>
        <v>0</v>
      </c>
      <c r="D24" s="227">
        <f>'PPAJr-Staff'!D54</f>
        <v>0.4</v>
      </c>
      <c r="E24" s="227">
        <f>'PPAJr-Staff'!E54</f>
        <v>0.5</v>
      </c>
      <c r="F24" s="227">
        <f>'PPAJr-Staff'!F54</f>
        <v>0.5</v>
      </c>
      <c r="G24" s="227">
        <f>'PPAJr-Staff'!G54</f>
        <v>0.6</v>
      </c>
      <c r="H24" s="227">
        <f>'PPAJr-Staff'!H54</f>
        <v>0.6</v>
      </c>
      <c r="I24" s="227">
        <f>'PPAJr-Staff'!I54</f>
        <v>0.6</v>
      </c>
      <c r="K24" s="250"/>
      <c r="L24" s="250"/>
      <c r="M24" s="250"/>
      <c r="N24" s="250"/>
      <c r="O24" s="250"/>
      <c r="P24" s="250"/>
    </row>
    <row r="25" spans="1:16" s="224" customFormat="1" ht="9">
      <c r="B25" s="226" t="s">
        <v>527</v>
      </c>
      <c r="C25" s="227"/>
      <c r="D25" s="227"/>
      <c r="E25" s="227"/>
      <c r="F25" s="227"/>
      <c r="G25" s="227"/>
      <c r="H25" s="227"/>
      <c r="I25" s="227"/>
    </row>
    <row r="26" spans="1:16">
      <c r="A26" s="408" t="s">
        <v>117</v>
      </c>
      <c r="B26" s="408"/>
      <c r="C26" s="225">
        <f>SUM(C27:C29)</f>
        <v>2</v>
      </c>
      <c r="D26" s="225">
        <f t="shared" ref="D26:I26" si="3">SUM(D27:D29)</f>
        <v>3.1</v>
      </c>
      <c r="E26" s="225">
        <f t="shared" si="3"/>
        <v>3.6</v>
      </c>
      <c r="F26" s="225">
        <f t="shared" si="3"/>
        <v>3.7</v>
      </c>
      <c r="G26" s="225">
        <f t="shared" si="3"/>
        <v>3.9000000000000004</v>
      </c>
      <c r="H26" s="225">
        <f t="shared" si="3"/>
        <v>4</v>
      </c>
      <c r="I26" s="225">
        <f t="shared" si="3"/>
        <v>4</v>
      </c>
    </row>
    <row r="27" spans="1:16" s="224" customFormat="1" ht="9">
      <c r="B27" s="226" t="s">
        <v>50</v>
      </c>
      <c r="C27" s="227">
        <f>'PPA-Staff'!C34</f>
        <v>2</v>
      </c>
      <c r="D27" s="227">
        <f>'PPA-Staff'!D34</f>
        <v>2</v>
      </c>
      <c r="E27" s="227">
        <f>'PPA-Staff'!E34</f>
        <v>2</v>
      </c>
      <c r="F27" s="227">
        <f>'PPA-Staff'!F34</f>
        <v>2</v>
      </c>
      <c r="G27" s="227">
        <f>'PPA-Staff'!G34</f>
        <v>2</v>
      </c>
      <c r="H27" s="227">
        <f>'PPA-Staff'!H34</f>
        <v>2</v>
      </c>
      <c r="I27" s="227">
        <f>'PPA-Staff'!I34</f>
        <v>2</v>
      </c>
    </row>
    <row r="28" spans="1:16" s="224" customFormat="1" ht="9">
      <c r="B28" s="226" t="s">
        <v>144</v>
      </c>
      <c r="C28" s="227">
        <f>'PPAJr-Staff'!C52</f>
        <v>0</v>
      </c>
      <c r="D28" s="227">
        <f>'PPAJr-Staff'!D52</f>
        <v>1.1000000000000001</v>
      </c>
      <c r="E28" s="227">
        <f>'PPAJr-Staff'!E52</f>
        <v>1.6</v>
      </c>
      <c r="F28" s="227">
        <f>'PPAJr-Staff'!F52</f>
        <v>1.7000000000000002</v>
      </c>
      <c r="G28" s="227">
        <f>'PPAJr-Staff'!G52</f>
        <v>1.9000000000000001</v>
      </c>
      <c r="H28" s="227">
        <f>'PPAJr-Staff'!H52</f>
        <v>2</v>
      </c>
      <c r="I28" s="227">
        <f>'PPAJr-Staff'!I52</f>
        <v>2</v>
      </c>
      <c r="K28" s="250"/>
      <c r="L28" s="250"/>
      <c r="M28" s="250"/>
      <c r="N28" s="250"/>
      <c r="O28" s="250"/>
      <c r="P28" s="250"/>
    </row>
    <row r="29" spans="1:16" s="224" customFormat="1" ht="9">
      <c r="B29" s="226" t="s">
        <v>527</v>
      </c>
      <c r="C29" s="227"/>
      <c r="D29" s="227"/>
      <c r="E29" s="227"/>
      <c r="F29" s="227"/>
      <c r="G29" s="227"/>
      <c r="H29" s="227"/>
      <c r="I29" s="227"/>
    </row>
    <row r="30" spans="1:16">
      <c r="A30" s="408" t="s">
        <v>118</v>
      </c>
      <c r="B30" s="408"/>
      <c r="C30" s="225">
        <f>SUM(C31:C33)</f>
        <v>2</v>
      </c>
      <c r="D30" s="225">
        <f t="shared" ref="D30:I30" si="4">SUM(D31:D33)</f>
        <v>2.5</v>
      </c>
      <c r="E30" s="225">
        <f t="shared" si="4"/>
        <v>2.6</v>
      </c>
      <c r="F30" s="225">
        <f t="shared" si="4"/>
        <v>2.7</v>
      </c>
      <c r="G30" s="225">
        <f t="shared" si="4"/>
        <v>2.8</v>
      </c>
      <c r="H30" s="225">
        <f t="shared" si="4"/>
        <v>2.8</v>
      </c>
      <c r="I30" s="225">
        <f t="shared" si="4"/>
        <v>2.8</v>
      </c>
    </row>
    <row r="31" spans="1:16" s="224" customFormat="1" ht="9">
      <c r="B31" s="226" t="s">
        <v>50</v>
      </c>
      <c r="C31" s="227">
        <f>'PPA-Staff'!C35</f>
        <v>2</v>
      </c>
      <c r="D31" s="227">
        <f>'PPA-Staff'!D35</f>
        <v>2</v>
      </c>
      <c r="E31" s="227">
        <f>'PPA-Staff'!E35</f>
        <v>2</v>
      </c>
      <c r="F31" s="227">
        <f>'PPA-Staff'!F35</f>
        <v>2</v>
      </c>
      <c r="G31" s="227">
        <f>'PPA-Staff'!G35</f>
        <v>2</v>
      </c>
      <c r="H31" s="227">
        <f>'PPA-Staff'!H35</f>
        <v>2</v>
      </c>
      <c r="I31" s="227">
        <f>'PPA-Staff'!I35</f>
        <v>2</v>
      </c>
    </row>
    <row r="32" spans="1:16" s="224" customFormat="1" ht="9">
      <c r="B32" s="226" t="s">
        <v>144</v>
      </c>
      <c r="C32" s="227">
        <f>'PPAJr-Staff'!C51</f>
        <v>0</v>
      </c>
      <c r="D32" s="227">
        <f>'PPAJr-Staff'!D51</f>
        <v>0.5</v>
      </c>
      <c r="E32" s="227">
        <f>'PPAJr-Staff'!E51</f>
        <v>0.6</v>
      </c>
      <c r="F32" s="227">
        <f>'PPAJr-Staff'!F51</f>
        <v>0.7</v>
      </c>
      <c r="G32" s="227">
        <f>'PPAJr-Staff'!G51</f>
        <v>0.79999999999999993</v>
      </c>
      <c r="H32" s="227">
        <f>'PPAJr-Staff'!H51</f>
        <v>0.79999999999999993</v>
      </c>
      <c r="I32" s="227">
        <f>'PPAJr-Staff'!I51</f>
        <v>0.79999999999999993</v>
      </c>
      <c r="K32" s="250"/>
      <c r="L32" s="250"/>
      <c r="M32" s="250"/>
      <c r="N32" s="250"/>
      <c r="O32" s="250"/>
      <c r="P32" s="250"/>
    </row>
    <row r="33" spans="1:16" s="224" customFormat="1" ht="9">
      <c r="B33" s="226" t="s">
        <v>527</v>
      </c>
      <c r="C33" s="227"/>
      <c r="D33" s="227"/>
      <c r="E33" s="227"/>
      <c r="F33" s="227"/>
      <c r="G33" s="227"/>
      <c r="H33" s="227"/>
      <c r="I33" s="227"/>
    </row>
    <row r="34" spans="1:16">
      <c r="A34" s="408" t="s">
        <v>67</v>
      </c>
      <c r="B34" s="408"/>
      <c r="C34" s="225">
        <f>SUM(C35:C37)</f>
        <v>1.5</v>
      </c>
      <c r="D34" s="225">
        <f t="shared" ref="D34:I34" si="5">SUM(D35:D37)</f>
        <v>1.9</v>
      </c>
      <c r="E34" s="225">
        <f t="shared" si="5"/>
        <v>1.9</v>
      </c>
      <c r="F34" s="225">
        <f t="shared" si="5"/>
        <v>2.1</v>
      </c>
      <c r="G34" s="225">
        <f t="shared" si="5"/>
        <v>2.5</v>
      </c>
      <c r="H34" s="225">
        <f t="shared" si="5"/>
        <v>2.5</v>
      </c>
      <c r="I34" s="225">
        <f t="shared" si="5"/>
        <v>2.5</v>
      </c>
    </row>
    <row r="35" spans="1:16" s="224" customFormat="1" ht="9">
      <c r="B35" s="226" t="s">
        <v>50</v>
      </c>
      <c r="C35" s="227">
        <f>'PPA-Staff'!C36</f>
        <v>1.5</v>
      </c>
      <c r="D35" s="227">
        <f>'PPA-Staff'!D36</f>
        <v>1</v>
      </c>
      <c r="E35" s="227">
        <f>'PPA-Staff'!E36</f>
        <v>1</v>
      </c>
      <c r="F35" s="227">
        <f>'PPA-Staff'!F36</f>
        <v>1.5</v>
      </c>
      <c r="G35" s="227">
        <f>'PPA-Staff'!G36</f>
        <v>1.5</v>
      </c>
      <c r="H35" s="227">
        <f>'PPA-Staff'!H36</f>
        <v>1.5</v>
      </c>
      <c r="I35" s="227">
        <f>'PPA-Staff'!I36</f>
        <v>1.5</v>
      </c>
    </row>
    <row r="36" spans="1:16" s="224" customFormat="1" ht="9">
      <c r="B36" s="226" t="s">
        <v>144</v>
      </c>
      <c r="C36" s="227">
        <f>'PPAJr-Staff'!C55</f>
        <v>0</v>
      </c>
      <c r="D36" s="227">
        <f>'PPAJr-Staff'!D55</f>
        <v>0.4</v>
      </c>
      <c r="E36" s="227">
        <f>'PPAJr-Staff'!E55</f>
        <v>0.4</v>
      </c>
      <c r="F36" s="227">
        <f>'PPAJr-Staff'!F55</f>
        <v>0.6</v>
      </c>
      <c r="G36" s="227">
        <f>'PPAJr-Staff'!G55</f>
        <v>1</v>
      </c>
      <c r="H36" s="227">
        <f>'PPAJr-Staff'!H55</f>
        <v>1</v>
      </c>
      <c r="I36" s="227">
        <f>'PPAJr-Staff'!I55</f>
        <v>1</v>
      </c>
      <c r="K36" s="250"/>
      <c r="L36" s="250"/>
      <c r="M36" s="250"/>
      <c r="N36" s="250"/>
      <c r="O36" s="250"/>
      <c r="P36" s="250"/>
    </row>
    <row r="37" spans="1:16" s="224" customFormat="1" ht="9">
      <c r="B37" s="226" t="s">
        <v>527</v>
      </c>
      <c r="C37" s="227">
        <f>SharedStaff!C36</f>
        <v>0</v>
      </c>
      <c r="D37" s="227">
        <f>SharedStaff!D36</f>
        <v>0.5</v>
      </c>
      <c r="E37" s="227">
        <f>SharedStaff!E36</f>
        <v>0.5</v>
      </c>
      <c r="F37" s="227">
        <f>SharedStaff!F36</f>
        <v>0</v>
      </c>
      <c r="G37" s="227">
        <f>SharedStaff!G36</f>
        <v>0</v>
      </c>
      <c r="H37" s="227">
        <f>SharedStaff!H36</f>
        <v>0</v>
      </c>
      <c r="I37" s="227">
        <f>SharedStaff!I36</f>
        <v>0</v>
      </c>
    </row>
    <row r="38" spans="1:16">
      <c r="A38" s="408" t="s">
        <v>119</v>
      </c>
      <c r="B38" s="408"/>
      <c r="C38" s="225">
        <f>SUM(C39:C41)</f>
        <v>0.5</v>
      </c>
      <c r="D38" s="225">
        <f t="shared" ref="D38:I38" si="6">SUM(D39:D41)</f>
        <v>0.5</v>
      </c>
      <c r="E38" s="225">
        <f t="shared" si="6"/>
        <v>0.5</v>
      </c>
      <c r="F38" s="225">
        <f t="shared" si="6"/>
        <v>0.5</v>
      </c>
      <c r="G38" s="225">
        <f t="shared" si="6"/>
        <v>0.5</v>
      </c>
      <c r="H38" s="225">
        <f t="shared" si="6"/>
        <v>0.5</v>
      </c>
      <c r="I38" s="225">
        <f t="shared" si="6"/>
        <v>0.5</v>
      </c>
    </row>
    <row r="39" spans="1:16" s="224" customFormat="1" ht="9">
      <c r="B39" s="226" t="s">
        <v>50</v>
      </c>
      <c r="C39" s="227">
        <f>'PPA-Staff'!C37</f>
        <v>0.5</v>
      </c>
      <c r="D39" s="227">
        <f>'PPA-Staff'!D37</f>
        <v>0.5</v>
      </c>
      <c r="E39" s="227">
        <f>'PPA-Staff'!E37</f>
        <v>0.5</v>
      </c>
      <c r="F39" s="227">
        <f>'PPA-Staff'!F37</f>
        <v>0.5</v>
      </c>
      <c r="G39" s="227">
        <f>'PPA-Staff'!G37</f>
        <v>0.5</v>
      </c>
      <c r="H39" s="227">
        <f>'PPA-Staff'!H37</f>
        <v>0.5</v>
      </c>
      <c r="I39" s="227">
        <f>'PPA-Staff'!I37</f>
        <v>0.5</v>
      </c>
    </row>
    <row r="40" spans="1:16" s="224" customFormat="1" ht="9">
      <c r="B40" s="226" t="s">
        <v>144</v>
      </c>
      <c r="C40" s="227">
        <f>'PPAJr-Staff'!C56</f>
        <v>0</v>
      </c>
      <c r="D40" s="227">
        <f>'PPAJr-Staff'!D56</f>
        <v>0</v>
      </c>
      <c r="E40" s="227">
        <f>'PPAJr-Staff'!E56</f>
        <v>0</v>
      </c>
      <c r="F40" s="227">
        <f>'PPAJr-Staff'!F56</f>
        <v>0</v>
      </c>
      <c r="G40" s="227">
        <f>'PPAJr-Staff'!G56</f>
        <v>0</v>
      </c>
      <c r="H40" s="227">
        <f>'PPAJr-Staff'!H56</f>
        <v>0</v>
      </c>
      <c r="I40" s="227">
        <f>'PPAJr-Staff'!I56</f>
        <v>0</v>
      </c>
      <c r="K40" s="250"/>
      <c r="L40" s="250"/>
      <c r="M40" s="250"/>
      <c r="N40" s="250"/>
      <c r="O40" s="250"/>
      <c r="P40" s="250"/>
    </row>
    <row r="41" spans="1:16" s="224" customFormat="1" ht="9">
      <c r="B41" s="226" t="s">
        <v>527</v>
      </c>
      <c r="C41" s="227">
        <f>SharedStaff!C42</f>
        <v>0</v>
      </c>
      <c r="D41" s="227">
        <f>SharedStaff!D42</f>
        <v>0</v>
      </c>
      <c r="E41" s="227">
        <f>SharedStaff!E42</f>
        <v>0</v>
      </c>
      <c r="F41" s="227">
        <f>SharedStaff!F42</f>
        <v>0</v>
      </c>
      <c r="G41" s="227">
        <f>SharedStaff!G42</f>
        <v>0</v>
      </c>
      <c r="H41" s="227">
        <f>SharedStaff!H42</f>
        <v>0</v>
      </c>
      <c r="I41" s="227">
        <f>SharedStaff!I42</f>
        <v>0</v>
      </c>
    </row>
    <row r="42" spans="1:16">
      <c r="A42" s="408" t="s">
        <v>531</v>
      </c>
      <c r="B42" s="408"/>
      <c r="C42" s="225">
        <f>SUM(C43:C45)</f>
        <v>0</v>
      </c>
      <c r="D42" s="225">
        <f t="shared" ref="D42:I42" si="7">SUM(D43:D45)</f>
        <v>0.6</v>
      </c>
      <c r="E42" s="225">
        <f t="shared" si="7"/>
        <v>0.79999999999999993</v>
      </c>
      <c r="F42" s="225">
        <f t="shared" si="7"/>
        <v>0.79999999999999993</v>
      </c>
      <c r="G42" s="225">
        <f t="shared" si="7"/>
        <v>0.9</v>
      </c>
      <c r="H42" s="225">
        <f t="shared" si="7"/>
        <v>0.9</v>
      </c>
      <c r="I42" s="225">
        <f t="shared" si="7"/>
        <v>0.9</v>
      </c>
    </row>
    <row r="43" spans="1:16" s="224" customFormat="1" ht="9">
      <c r="B43" s="226" t="s">
        <v>50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</row>
    <row r="44" spans="1:16" s="224" customFormat="1" ht="9">
      <c r="B44" s="226" t="s">
        <v>144</v>
      </c>
      <c r="C44" s="227">
        <f>'PPAJr-Staff'!C50</f>
        <v>0</v>
      </c>
      <c r="D44" s="227">
        <f>'PPAJr-Staff'!D50</f>
        <v>0.6</v>
      </c>
      <c r="E44" s="227">
        <f>'PPAJr-Staff'!E50</f>
        <v>0.79999999999999993</v>
      </c>
      <c r="F44" s="227">
        <f>'PPAJr-Staff'!F50</f>
        <v>0.79999999999999993</v>
      </c>
      <c r="G44" s="227">
        <f>'PPAJr-Staff'!G50</f>
        <v>0.9</v>
      </c>
      <c r="H44" s="227">
        <f>'PPAJr-Staff'!H50</f>
        <v>0.9</v>
      </c>
      <c r="I44" s="227">
        <f>'PPAJr-Staff'!I50</f>
        <v>0.9</v>
      </c>
      <c r="K44" s="250"/>
      <c r="L44" s="250"/>
      <c r="M44" s="250"/>
      <c r="N44" s="250"/>
      <c r="O44" s="250"/>
      <c r="P44" s="250"/>
    </row>
    <row r="45" spans="1:16" s="224" customFormat="1" ht="9">
      <c r="B45" s="226" t="s">
        <v>527</v>
      </c>
      <c r="C45" s="227"/>
      <c r="D45" s="227"/>
      <c r="E45" s="227"/>
      <c r="F45" s="227"/>
      <c r="G45" s="227"/>
      <c r="H45" s="227"/>
      <c r="I45" s="227"/>
    </row>
    <row r="46" spans="1:16">
      <c r="A46" s="408" t="s">
        <v>528</v>
      </c>
      <c r="B46" s="408"/>
      <c r="C46" s="225">
        <f>SUM(C47:C49)</f>
        <v>1.3666666666666667</v>
      </c>
      <c r="D46" s="225">
        <f t="shared" ref="D46:I46" si="8">SUM(D47:D49)</f>
        <v>3</v>
      </c>
      <c r="E46" s="225">
        <f t="shared" si="8"/>
        <v>3</v>
      </c>
      <c r="F46" s="225">
        <f t="shared" si="8"/>
        <v>3</v>
      </c>
      <c r="G46" s="225">
        <f t="shared" si="8"/>
        <v>3</v>
      </c>
      <c r="H46" s="225">
        <f t="shared" si="8"/>
        <v>3</v>
      </c>
      <c r="I46" s="225">
        <f t="shared" si="8"/>
        <v>3</v>
      </c>
    </row>
    <row r="47" spans="1:16" s="224" customFormat="1" ht="9">
      <c r="B47" s="226" t="s">
        <v>50</v>
      </c>
      <c r="C47" s="227">
        <f>'PPA-Staff'!C65</f>
        <v>1</v>
      </c>
      <c r="D47" s="227">
        <f>'PPA-Staff'!D65</f>
        <v>1</v>
      </c>
      <c r="E47" s="227">
        <f>'PPA-Staff'!E65</f>
        <v>1</v>
      </c>
      <c r="F47" s="227">
        <f>'PPA-Staff'!F65</f>
        <v>1</v>
      </c>
      <c r="G47" s="227">
        <f>'PPA-Staff'!G65</f>
        <v>1</v>
      </c>
      <c r="H47" s="227">
        <f>'PPA-Staff'!H65</f>
        <v>1</v>
      </c>
      <c r="I47" s="227">
        <f>'PPA-Staff'!I65</f>
        <v>1</v>
      </c>
    </row>
    <row r="48" spans="1:16" s="224" customFormat="1" ht="9">
      <c r="B48" s="226" t="s">
        <v>144</v>
      </c>
      <c r="C48" s="227">
        <f>'PPAJr-Staff'!C84</f>
        <v>0.16666666666666666</v>
      </c>
      <c r="D48" s="227">
        <f>'PPAJr-Staff'!D84</f>
        <v>1</v>
      </c>
      <c r="E48" s="227">
        <f>'PPAJr-Staff'!E84</f>
        <v>1</v>
      </c>
      <c r="F48" s="227">
        <f>'PPAJr-Staff'!F84</f>
        <v>1</v>
      </c>
      <c r="G48" s="227">
        <f>'PPAJr-Staff'!G84</f>
        <v>1</v>
      </c>
      <c r="H48" s="227">
        <f>'PPAJr-Staff'!H84</f>
        <v>1</v>
      </c>
      <c r="I48" s="227">
        <f>'PPAJr-Staff'!I84</f>
        <v>1</v>
      </c>
      <c r="K48" s="250"/>
      <c r="L48" s="250"/>
      <c r="M48" s="250"/>
      <c r="N48" s="250"/>
      <c r="O48" s="250"/>
      <c r="P48" s="250"/>
    </row>
    <row r="49" spans="1:16" s="224" customFormat="1" ht="9">
      <c r="B49" s="226" t="s">
        <v>527</v>
      </c>
      <c r="C49" s="227">
        <f>SharedStaff!C27</f>
        <v>0.2</v>
      </c>
      <c r="D49" s="227">
        <f>SharedStaff!D27</f>
        <v>1</v>
      </c>
      <c r="E49" s="227">
        <f>SharedStaff!E27</f>
        <v>1</v>
      </c>
      <c r="F49" s="227">
        <f>SharedStaff!F27</f>
        <v>1</v>
      </c>
      <c r="G49" s="227">
        <f>SharedStaff!G27</f>
        <v>1</v>
      </c>
      <c r="H49" s="227">
        <f>SharedStaff!H27</f>
        <v>1</v>
      </c>
      <c r="I49" s="227">
        <f>SharedStaff!I27</f>
        <v>1</v>
      </c>
    </row>
    <row r="50" spans="1:16">
      <c r="A50" s="408" t="s">
        <v>529</v>
      </c>
      <c r="B50" s="408"/>
      <c r="C50" s="225">
        <f>SUM(C51:C53)</f>
        <v>0</v>
      </c>
      <c r="D50" s="225">
        <f t="shared" ref="D50:I50" si="9">SUM(D51:D53)</f>
        <v>0</v>
      </c>
      <c r="E50" s="225">
        <f t="shared" si="9"/>
        <v>0</v>
      </c>
      <c r="F50" s="225">
        <f t="shared" si="9"/>
        <v>0</v>
      </c>
      <c r="G50" s="225">
        <f t="shared" si="9"/>
        <v>0</v>
      </c>
      <c r="H50" s="225">
        <f t="shared" si="9"/>
        <v>0</v>
      </c>
      <c r="I50" s="225">
        <f t="shared" si="9"/>
        <v>0</v>
      </c>
    </row>
    <row r="51" spans="1:16" s="224" customFormat="1" ht="9">
      <c r="B51" s="226" t="s">
        <v>50</v>
      </c>
      <c r="C51" s="227">
        <f>'PPA-Staff'!C69</f>
        <v>0</v>
      </c>
      <c r="D51" s="227">
        <f>'PPA-Staff'!D69</f>
        <v>0</v>
      </c>
      <c r="E51" s="227">
        <f>'PPA-Staff'!E69</f>
        <v>0</v>
      </c>
      <c r="F51" s="227">
        <f>'PPA-Staff'!F69</f>
        <v>0</v>
      </c>
      <c r="G51" s="227">
        <f>'PPA-Staff'!G69</f>
        <v>0</v>
      </c>
      <c r="H51" s="227">
        <f>'PPA-Staff'!H69</f>
        <v>0</v>
      </c>
      <c r="I51" s="227">
        <f>'PPA-Staff'!I69</f>
        <v>0</v>
      </c>
    </row>
    <row r="52" spans="1:16" s="224" customFormat="1" ht="9">
      <c r="B52" s="226" t="s">
        <v>144</v>
      </c>
      <c r="C52" s="227">
        <f>'PPAJr-Staff'!C87</f>
        <v>0</v>
      </c>
      <c r="D52" s="227">
        <f>'PPAJr-Staff'!D87</f>
        <v>0</v>
      </c>
      <c r="E52" s="227">
        <f>'PPAJr-Staff'!E87</f>
        <v>0</v>
      </c>
      <c r="F52" s="227">
        <f>'PPAJr-Staff'!F87</f>
        <v>0</v>
      </c>
      <c r="G52" s="227">
        <f>'PPAJr-Staff'!G87</f>
        <v>0</v>
      </c>
      <c r="H52" s="227">
        <f>'PPAJr-Staff'!H87</f>
        <v>0</v>
      </c>
      <c r="I52" s="227">
        <f>'PPAJr-Staff'!I87</f>
        <v>0</v>
      </c>
      <c r="K52" s="250"/>
      <c r="L52" s="250"/>
      <c r="M52" s="250"/>
      <c r="N52" s="250"/>
      <c r="O52" s="250"/>
      <c r="P52" s="250"/>
    </row>
    <row r="53" spans="1:16" s="224" customFormat="1" ht="9">
      <c r="B53" s="226" t="s">
        <v>527</v>
      </c>
      <c r="C53" s="227">
        <f>SharedStaff!C30+SharedStaff!C39</f>
        <v>0</v>
      </c>
      <c r="D53" s="227">
        <f>SharedStaff!D30+SharedStaff!D39</f>
        <v>0</v>
      </c>
      <c r="E53" s="227">
        <f>SharedStaff!E30+SharedStaff!E39</f>
        <v>0</v>
      </c>
      <c r="F53" s="227">
        <f>SharedStaff!F30+SharedStaff!F39</f>
        <v>0</v>
      </c>
      <c r="G53" s="227">
        <f>SharedStaff!G30+SharedStaff!G39</f>
        <v>0</v>
      </c>
      <c r="H53" s="227">
        <f>SharedStaff!H30+SharedStaff!H39</f>
        <v>0</v>
      </c>
      <c r="I53" s="227">
        <f>SharedStaff!I30+SharedStaff!I39</f>
        <v>0</v>
      </c>
    </row>
    <row r="54" spans="1:16">
      <c r="A54" s="408" t="s">
        <v>532</v>
      </c>
      <c r="B54" s="408"/>
      <c r="C54" s="225">
        <f>SUM(C55:C57)</f>
        <v>2.9003831417624522</v>
      </c>
      <c r="D54" s="225">
        <f t="shared" ref="D54:I54" si="10">SUM(D55:D57)</f>
        <v>2.8812260536398466</v>
      </c>
      <c r="E54" s="225">
        <f t="shared" si="10"/>
        <v>2.8812260536398466</v>
      </c>
      <c r="F54" s="225">
        <f t="shared" si="10"/>
        <v>2.8812260536398466</v>
      </c>
      <c r="G54" s="225">
        <f t="shared" si="10"/>
        <v>2.8812260536398466</v>
      </c>
      <c r="H54" s="225">
        <f t="shared" si="10"/>
        <v>2.8812260536398466</v>
      </c>
      <c r="I54" s="225">
        <f t="shared" si="10"/>
        <v>2.8812260536398466</v>
      </c>
    </row>
    <row r="55" spans="1:16" s="224" customFormat="1" ht="9">
      <c r="B55" s="226" t="s">
        <v>50</v>
      </c>
      <c r="C55" s="227">
        <f>('PPA-Staff'!C73/261)*('PPA-Staff'!C74/8)</f>
        <v>0.90038314176245215</v>
      </c>
      <c r="D55" s="227">
        <f>('PPA-Staff'!D73/261)*('PPA-Staff'!D74/8)</f>
        <v>0</v>
      </c>
      <c r="E55" s="227">
        <f>('PPA-Staff'!E73/261)*('PPA-Staff'!E74/8)</f>
        <v>0</v>
      </c>
      <c r="F55" s="227">
        <f>('PPA-Staff'!F73/261)*('PPA-Staff'!F74/8)</f>
        <v>0</v>
      </c>
      <c r="G55" s="227">
        <f>('PPA-Staff'!G73/261)*('PPA-Staff'!G74/8)</f>
        <v>0</v>
      </c>
      <c r="H55" s="227">
        <f>('PPA-Staff'!H73/261)*('PPA-Staff'!H74/8)</f>
        <v>0</v>
      </c>
      <c r="I55" s="227">
        <f>('PPA-Staff'!I73/261)*('PPA-Staff'!I74/8)</f>
        <v>0</v>
      </c>
    </row>
    <row r="56" spans="1:16" s="224" customFormat="1" ht="9">
      <c r="B56" s="226" t="s">
        <v>144</v>
      </c>
      <c r="C56" s="227">
        <f>('PPAJr-Staff'!C91/261)*('PPAJr-Staff'!C92/8)</f>
        <v>0</v>
      </c>
      <c r="D56" s="227">
        <f>('PPAJr-Staff'!D91/261)*('PPAJr-Staff'!D92/8)</f>
        <v>0</v>
      </c>
      <c r="E56" s="227">
        <f>('PPAJr-Staff'!E91/261)*('PPAJr-Staff'!E92/8)</f>
        <v>0</v>
      </c>
      <c r="F56" s="227">
        <f>('PPAJr-Staff'!F91/261)*('PPAJr-Staff'!F92/8)</f>
        <v>0</v>
      </c>
      <c r="G56" s="227">
        <f>('PPAJr-Staff'!G91/261)*('PPAJr-Staff'!G92/8)</f>
        <v>0</v>
      </c>
      <c r="H56" s="227">
        <f>('PPAJr-Staff'!H91/261)*('PPAJr-Staff'!H92/8)</f>
        <v>0</v>
      </c>
      <c r="I56" s="227">
        <f>('PPAJr-Staff'!I91/261)*('PPAJr-Staff'!I92/8)</f>
        <v>0</v>
      </c>
      <c r="K56" s="250"/>
      <c r="L56" s="250"/>
      <c r="M56" s="250"/>
      <c r="N56" s="250"/>
      <c r="O56" s="250"/>
      <c r="P56" s="250"/>
    </row>
    <row r="57" spans="1:16" s="224" customFormat="1" ht="9">
      <c r="B57" s="226" t="s">
        <v>527</v>
      </c>
      <c r="C57" s="227">
        <f>((SharedStaff!C46/261)*(SharedStaff!C47/8))+((SharedStaff!C50/261)*(SharedStaff!C51/8))+((SharedStaff!C54/261)*(SharedStaff!C55/8))+((SharedStaff!C63/261)*(SharedStaff!C64/8))</f>
        <v>2</v>
      </c>
      <c r="D57" s="227">
        <f>((SharedStaff!D46/261)*(SharedStaff!D47/8))+((SharedStaff!D50/261)*(SharedStaff!D51/8))+((SharedStaff!D54/261)*(SharedStaff!D55/8))+((SharedStaff!D63/261)*(SharedStaff!D64/8))</f>
        <v>2.8812260536398466</v>
      </c>
      <c r="E57" s="227">
        <f>((SharedStaff!E46/261)*(SharedStaff!E47/8))+((SharedStaff!E50/261)*(SharedStaff!E51/8))+((SharedStaff!E54/261)*(SharedStaff!E55/8))+((SharedStaff!E63/261)*(SharedStaff!E64/8))</f>
        <v>2.8812260536398466</v>
      </c>
      <c r="F57" s="227">
        <f>((SharedStaff!F46/261)*(SharedStaff!F47/8))+((SharedStaff!F50/261)*(SharedStaff!F51/8))+((SharedStaff!F54/261)*(SharedStaff!F55/8))+((SharedStaff!F63/261)*(SharedStaff!F64/8))</f>
        <v>2.8812260536398466</v>
      </c>
      <c r="G57" s="227">
        <f>((SharedStaff!G46/261)*(SharedStaff!G47/8))+((SharedStaff!G50/261)*(SharedStaff!G51/8))+((SharedStaff!G54/261)*(SharedStaff!G55/8))+((SharedStaff!G63/261)*(SharedStaff!G64/8))</f>
        <v>2.8812260536398466</v>
      </c>
      <c r="H57" s="227">
        <f>((SharedStaff!H46/261)*(SharedStaff!H47/8))+((SharedStaff!H50/261)*(SharedStaff!H51/8))+((SharedStaff!H54/261)*(SharedStaff!H55/8))+((SharedStaff!H63/261)*(SharedStaff!H64/8))</f>
        <v>2.8812260536398466</v>
      </c>
      <c r="I57" s="227">
        <f>((SharedStaff!I46/261)*(SharedStaff!I47/8))+((SharedStaff!I50/261)*(SharedStaff!I51/8))+((SharedStaff!I54/261)*(SharedStaff!I55/8))+((SharedStaff!I63/261)*(SharedStaff!I64/8))</f>
        <v>2.8812260536398466</v>
      </c>
    </row>
    <row r="58" spans="1:16">
      <c r="A58" s="408" t="s">
        <v>54</v>
      </c>
      <c r="B58" s="408"/>
      <c r="C58" s="225">
        <f>SUM(C59:C61)</f>
        <v>1</v>
      </c>
      <c r="D58" s="225">
        <f t="shared" ref="D58:I58" si="11">SUM(D59:D61)</f>
        <v>3.3</v>
      </c>
      <c r="E58" s="225">
        <f t="shared" si="11"/>
        <v>4.2</v>
      </c>
      <c r="F58" s="225">
        <f t="shared" si="11"/>
        <v>4.4000000000000004</v>
      </c>
      <c r="G58" s="225">
        <f t="shared" si="11"/>
        <v>4.8</v>
      </c>
      <c r="H58" s="225">
        <f t="shared" si="11"/>
        <v>5</v>
      </c>
      <c r="I58" s="225">
        <f t="shared" si="11"/>
        <v>5</v>
      </c>
    </row>
    <row r="59" spans="1:16" s="224" customFormat="1" ht="9">
      <c r="B59" s="226" t="s">
        <v>50</v>
      </c>
      <c r="C59" s="227">
        <f>'PPA-Staff'!C77</f>
        <v>1</v>
      </c>
      <c r="D59" s="227">
        <f>'PPA-Staff'!D77</f>
        <v>1</v>
      </c>
      <c r="E59" s="227">
        <f>'PPA-Staff'!E77</f>
        <v>1</v>
      </c>
      <c r="F59" s="227">
        <f>'PPA-Staff'!F77</f>
        <v>1</v>
      </c>
      <c r="G59" s="227">
        <f>'PPA-Staff'!G77</f>
        <v>1</v>
      </c>
      <c r="H59" s="227">
        <f>'PPA-Staff'!H77</f>
        <v>1</v>
      </c>
      <c r="I59" s="227">
        <f>'PPA-Staff'!I77</f>
        <v>1</v>
      </c>
    </row>
    <row r="60" spans="1:16" s="224" customFormat="1" ht="9">
      <c r="B60" s="226" t="s">
        <v>144</v>
      </c>
      <c r="C60" s="227">
        <f>'PPAJr-Staff'!C95+'PPAJr-Staff'!C96</f>
        <v>0</v>
      </c>
      <c r="D60" s="227">
        <f>'PPAJr-Staff'!D95+'PPAJr-Staff'!D96</f>
        <v>2.2999999999999998</v>
      </c>
      <c r="E60" s="227">
        <f>'PPAJr-Staff'!E95+'PPAJr-Staff'!E96</f>
        <v>3.2</v>
      </c>
      <c r="F60" s="227">
        <f>'PPAJr-Staff'!F95+'PPAJr-Staff'!F96</f>
        <v>3.4</v>
      </c>
      <c r="G60" s="227">
        <f>'PPAJr-Staff'!G95+'PPAJr-Staff'!G96</f>
        <v>3.8</v>
      </c>
      <c r="H60" s="227">
        <f>'PPAJr-Staff'!H95+'PPAJr-Staff'!H96</f>
        <v>4</v>
      </c>
      <c r="I60" s="227">
        <f>'PPAJr-Staff'!I95+'PPAJr-Staff'!I96</f>
        <v>4</v>
      </c>
      <c r="L60" s="250"/>
      <c r="M60" s="250"/>
      <c r="N60" s="250"/>
      <c r="O60" s="250"/>
      <c r="P60" s="250"/>
    </row>
    <row r="61" spans="1:16" s="224" customFormat="1" ht="9">
      <c r="B61" s="226" t="s">
        <v>527</v>
      </c>
      <c r="C61" s="227">
        <f>SharedStaff!C58</f>
        <v>0</v>
      </c>
      <c r="D61" s="227">
        <f>SharedStaff!D58</f>
        <v>0</v>
      </c>
      <c r="E61" s="227">
        <f>SharedStaff!E58</f>
        <v>0</v>
      </c>
      <c r="F61" s="227">
        <f>SharedStaff!F58</f>
        <v>0</v>
      </c>
      <c r="G61" s="227">
        <f>SharedStaff!G58</f>
        <v>0</v>
      </c>
      <c r="H61" s="227">
        <f>SharedStaff!H58</f>
        <v>0</v>
      </c>
      <c r="I61" s="227">
        <f>SharedStaff!I58</f>
        <v>0</v>
      </c>
    </row>
    <row r="62" spans="1:16">
      <c r="A62" s="408" t="s">
        <v>530</v>
      </c>
      <c r="B62" s="408"/>
      <c r="C62" s="225">
        <f>SUM(C63:C65)</f>
        <v>0</v>
      </c>
      <c r="D62" s="225">
        <f t="shared" ref="D62:I62" si="12">SUM(D63:D65)</f>
        <v>0</v>
      </c>
      <c r="E62" s="225">
        <f t="shared" si="12"/>
        <v>0</v>
      </c>
      <c r="F62" s="225">
        <f t="shared" si="12"/>
        <v>0</v>
      </c>
      <c r="G62" s="225">
        <f t="shared" si="12"/>
        <v>0</v>
      </c>
      <c r="H62" s="225">
        <f t="shared" si="12"/>
        <v>0</v>
      </c>
      <c r="I62" s="225">
        <f t="shared" si="12"/>
        <v>0</v>
      </c>
    </row>
    <row r="63" spans="1:16" s="224" customFormat="1" ht="9">
      <c r="B63" s="226" t="s">
        <v>50</v>
      </c>
      <c r="C63" s="227">
        <f>('PPA-Staff'!C82/261)*('PPA-Staff'!C83/8)</f>
        <v>0</v>
      </c>
      <c r="D63" s="227">
        <f>('PPA-Staff'!D82/261)*('PPA-Staff'!D83/8)</f>
        <v>0</v>
      </c>
      <c r="E63" s="227">
        <f>('PPA-Staff'!E82/261)*('PPA-Staff'!E83/8)</f>
        <v>0</v>
      </c>
      <c r="F63" s="227">
        <f>('PPA-Staff'!F82/261)*('PPA-Staff'!F83/8)</f>
        <v>0</v>
      </c>
      <c r="G63" s="227">
        <f>('PPA-Staff'!G82/261)*('PPA-Staff'!G83/8)</f>
        <v>0</v>
      </c>
      <c r="H63" s="227">
        <f>('PPA-Staff'!H82/261)*('PPA-Staff'!H83/8)</f>
        <v>0</v>
      </c>
      <c r="I63" s="227">
        <f>('PPA-Staff'!I82/261)*('PPA-Staff'!I83/8)</f>
        <v>0</v>
      </c>
    </row>
    <row r="64" spans="1:16" s="224" customFormat="1" ht="9">
      <c r="B64" s="226" t="s">
        <v>144</v>
      </c>
      <c r="C64" s="227">
        <f>('PPAJr-Staff'!C101/261)*('PPAJr-Staff'!C102/8)</f>
        <v>0</v>
      </c>
      <c r="D64" s="227">
        <f>('PPAJr-Staff'!D101/261)*('PPAJr-Staff'!D102/8)</f>
        <v>0</v>
      </c>
      <c r="E64" s="227">
        <f>('PPAJr-Staff'!E101/261)*('PPAJr-Staff'!E102/8)</f>
        <v>0</v>
      </c>
      <c r="F64" s="227">
        <f>('PPAJr-Staff'!F101/261)*('PPAJr-Staff'!F102/8)</f>
        <v>0</v>
      </c>
      <c r="G64" s="227">
        <f>('PPAJr-Staff'!G101/261)*('PPAJr-Staff'!G102/8)</f>
        <v>0</v>
      </c>
      <c r="H64" s="227">
        <f>('PPAJr-Staff'!H101/261)*('PPAJr-Staff'!H102/8)</f>
        <v>0</v>
      </c>
      <c r="I64" s="227">
        <f>('PPAJr-Staff'!I101/261)*('PPAJr-Staff'!I102/8)</f>
        <v>0</v>
      </c>
      <c r="K64" s="250"/>
      <c r="L64" s="250"/>
      <c r="M64" s="250"/>
      <c r="N64" s="250"/>
      <c r="O64" s="250"/>
      <c r="P64" s="250"/>
    </row>
    <row r="65" spans="1:16" s="224" customFormat="1" ht="9">
      <c r="B65" s="226" t="s">
        <v>527</v>
      </c>
      <c r="C65" s="227"/>
      <c r="D65" s="227"/>
      <c r="E65" s="227"/>
      <c r="F65" s="227"/>
      <c r="G65" s="227"/>
      <c r="H65" s="227"/>
      <c r="I65" s="227"/>
    </row>
    <row r="66" spans="1:16">
      <c r="A66" s="408" t="s">
        <v>153</v>
      </c>
      <c r="B66" s="408"/>
      <c r="C66" s="225">
        <f>SUM(C67:C69)</f>
        <v>0</v>
      </c>
      <c r="D66" s="225">
        <f t="shared" ref="D66:I66" si="13">SUM(D67:D69)</f>
        <v>0</v>
      </c>
      <c r="E66" s="225">
        <f t="shared" si="13"/>
        <v>0</v>
      </c>
      <c r="F66" s="225">
        <f t="shared" si="13"/>
        <v>0</v>
      </c>
      <c r="G66" s="225">
        <f t="shared" si="13"/>
        <v>0</v>
      </c>
      <c r="H66" s="225">
        <f t="shared" si="13"/>
        <v>0</v>
      </c>
      <c r="I66" s="225">
        <f t="shared" si="13"/>
        <v>0</v>
      </c>
    </row>
    <row r="67" spans="1:16" s="224" customFormat="1" ht="9">
      <c r="B67" s="226" t="s">
        <v>50</v>
      </c>
      <c r="C67" s="227"/>
      <c r="D67" s="227"/>
      <c r="E67" s="227"/>
      <c r="F67" s="227"/>
      <c r="G67" s="227"/>
      <c r="H67" s="227"/>
      <c r="I67" s="227"/>
    </row>
    <row r="68" spans="1:16" s="224" customFormat="1" ht="9">
      <c r="B68" s="226" t="s">
        <v>144</v>
      </c>
      <c r="C68" s="227"/>
      <c r="D68" s="227"/>
      <c r="E68" s="227"/>
      <c r="F68" s="227"/>
      <c r="G68" s="227"/>
      <c r="H68" s="227"/>
      <c r="I68" s="227"/>
      <c r="K68" s="250"/>
      <c r="L68" s="250"/>
      <c r="M68" s="250"/>
      <c r="N68" s="250"/>
      <c r="O68" s="250"/>
      <c r="P68" s="250"/>
    </row>
    <row r="69" spans="1:16" s="224" customFormat="1" ht="9">
      <c r="B69" s="226" t="s">
        <v>527</v>
      </c>
      <c r="C69" s="227">
        <f>SharedStaff!C33</f>
        <v>0</v>
      </c>
      <c r="D69" s="227">
        <f>SharedStaff!D33</f>
        <v>0</v>
      </c>
      <c r="E69" s="227">
        <f>SharedStaff!E33</f>
        <v>0</v>
      </c>
      <c r="F69" s="227">
        <f>SharedStaff!F33</f>
        <v>0</v>
      </c>
      <c r="G69" s="227">
        <f>SharedStaff!G33</f>
        <v>0</v>
      </c>
      <c r="H69" s="227">
        <f>SharedStaff!H33</f>
        <v>0</v>
      </c>
      <c r="I69" s="227">
        <f>SharedStaff!I33</f>
        <v>0</v>
      </c>
    </row>
    <row r="70" spans="1:16">
      <c r="A70" s="408" t="s">
        <v>533</v>
      </c>
      <c r="B70" s="408"/>
      <c r="C70" s="225">
        <f>SUM(C71:C73)</f>
        <v>1.5</v>
      </c>
      <c r="D70" s="225">
        <f t="shared" ref="D70:I70" si="14">SUM(D71:D73)</f>
        <v>3</v>
      </c>
      <c r="E70" s="225">
        <f t="shared" si="14"/>
        <v>3</v>
      </c>
      <c r="F70" s="225">
        <f t="shared" si="14"/>
        <v>3</v>
      </c>
      <c r="G70" s="225">
        <f t="shared" si="14"/>
        <v>3</v>
      </c>
      <c r="H70" s="225">
        <f t="shared" si="14"/>
        <v>3</v>
      </c>
      <c r="I70" s="225">
        <f t="shared" si="14"/>
        <v>3</v>
      </c>
    </row>
    <row r="71" spans="1:16">
      <c r="A71" s="224"/>
      <c r="B71" s="226" t="s">
        <v>50</v>
      </c>
      <c r="C71" s="227"/>
      <c r="D71" s="227"/>
      <c r="E71" s="227"/>
      <c r="F71" s="227"/>
      <c r="G71" s="227"/>
      <c r="H71" s="227"/>
      <c r="I71" s="227"/>
    </row>
    <row r="72" spans="1:16">
      <c r="A72" s="224"/>
      <c r="B72" s="226" t="s">
        <v>144</v>
      </c>
      <c r="C72" s="227"/>
      <c r="D72" s="227"/>
      <c r="E72" s="227"/>
      <c r="F72" s="227"/>
      <c r="G72" s="227"/>
      <c r="H72" s="227"/>
      <c r="I72" s="227"/>
      <c r="K72" s="250"/>
      <c r="L72" s="250"/>
      <c r="M72" s="250"/>
      <c r="N72" s="250"/>
      <c r="O72" s="250"/>
      <c r="P72" s="250"/>
    </row>
    <row r="73" spans="1:16">
      <c r="A73" s="224"/>
      <c r="B73" s="226" t="s">
        <v>527</v>
      </c>
      <c r="C73" s="227">
        <f>IF(Facilities!C60&gt;35,1,Facilities!C60/40)+IF(Facilities!C65&gt;35,1,Facilities!C65/40)+IF(Facilities!C70&gt;35,1,Facilities!C70/40)+IF(Facilities!C75&gt;35,1,Facilities!C75/40)+IF(Facilities!C80&gt;35,1,Facilities!C80/40)</f>
        <v>1.5</v>
      </c>
      <c r="D73" s="227">
        <f>IF(Facilities!D60&gt;35,1,Facilities!D60/40)+IF(Facilities!D65&gt;35,1,Facilities!D65/40)+IF(Facilities!D70&gt;35,1,Facilities!D70/40)+IF(Facilities!D75&gt;35,1,Facilities!D75/40)+IF(Facilities!D80&gt;35,1,Facilities!D80/40)</f>
        <v>3</v>
      </c>
      <c r="E73" s="227">
        <f>IF(Facilities!E60&gt;35,1,Facilities!E60/40)+IF(Facilities!E65&gt;35,1,Facilities!E65/40)+IF(Facilities!E70&gt;35,1,Facilities!E70/40)+IF(Facilities!E75&gt;35,1,Facilities!E75/40)+IF(Facilities!E80&gt;35,1,Facilities!E80/40)</f>
        <v>3</v>
      </c>
      <c r="F73" s="227">
        <f>IF(Facilities!F60&gt;35,1,Facilities!F60/40)+IF(Facilities!F65&gt;35,1,Facilities!F65/40)+IF(Facilities!F70&gt;35,1,Facilities!F70/40)+IF(Facilities!F75&gt;35,1,Facilities!F75/40)+IF(Facilities!F80&gt;35,1,Facilities!F80/40)</f>
        <v>3</v>
      </c>
      <c r="G73" s="227">
        <f>IF(Facilities!G60&gt;35,1,Facilities!G60/40)+IF(Facilities!G65&gt;35,1,Facilities!G65/40)+IF(Facilities!G70&gt;35,1,Facilities!G70/40)+IF(Facilities!G75&gt;35,1,Facilities!G75/40)+IF(Facilities!G80&gt;35,1,Facilities!G80/40)</f>
        <v>3</v>
      </c>
      <c r="H73" s="227">
        <f>IF(Facilities!H60&gt;35,1,Facilities!H60/40)+IF(Facilities!H65&gt;35,1,Facilities!H65/40)+IF(Facilities!H70&gt;35,1,Facilities!H70/40)+IF(Facilities!H75&gt;35,1,Facilities!H75/40)+IF(Facilities!H80&gt;35,1,Facilities!H80/40)</f>
        <v>3</v>
      </c>
      <c r="I73" s="227">
        <f>IF(Facilities!I60&gt;35,1,Facilities!I60/40)+IF(Facilities!I65&gt;35,1,Facilities!I65/40)+IF(Facilities!I70&gt;35,1,Facilities!I70/40)+IF(Facilities!I75&gt;35,1,Facilities!I75/40)+IF(Facilities!I80&gt;35,1,Facilities!I80/40)</f>
        <v>3</v>
      </c>
    </row>
    <row r="74" spans="1:16">
      <c r="A74" s="408" t="s">
        <v>536</v>
      </c>
      <c r="B74" s="408"/>
      <c r="C74" s="225">
        <f>MAX(C75:C76)</f>
        <v>3</v>
      </c>
      <c r="D74" s="225">
        <f t="shared" ref="D74:I74" si="15">MAX(D75:D76)</f>
        <v>4</v>
      </c>
      <c r="E74" s="225">
        <f t="shared" si="15"/>
        <v>5</v>
      </c>
      <c r="F74" s="225">
        <f t="shared" si="15"/>
        <v>5</v>
      </c>
      <c r="G74" s="225">
        <f t="shared" si="15"/>
        <v>5</v>
      </c>
      <c r="H74" s="225">
        <f t="shared" si="15"/>
        <v>5</v>
      </c>
      <c r="I74" s="225">
        <f t="shared" si="15"/>
        <v>5</v>
      </c>
      <c r="K74" s="250"/>
      <c r="L74" s="250"/>
      <c r="M74" s="250"/>
      <c r="N74" s="250"/>
      <c r="O74" s="250"/>
      <c r="P74" s="250"/>
    </row>
    <row r="75" spans="1:16">
      <c r="A75" s="224"/>
      <c r="B75" s="226" t="s">
        <v>373</v>
      </c>
      <c r="C75" s="227">
        <f>BACare!B61</f>
        <v>2</v>
      </c>
      <c r="D75" s="227">
        <f>BACare!C61</f>
        <v>2</v>
      </c>
      <c r="E75" s="227">
        <f>BACare!D61</f>
        <v>2</v>
      </c>
      <c r="F75" s="227">
        <f>BACare!E61</f>
        <v>3</v>
      </c>
      <c r="G75" s="227">
        <f>BACare!F61</f>
        <v>3</v>
      </c>
      <c r="H75" s="227">
        <f>BACare!G61</f>
        <v>3</v>
      </c>
      <c r="I75" s="227">
        <f>BACare!H61</f>
        <v>3</v>
      </c>
    </row>
    <row r="76" spans="1:16">
      <c r="A76" s="224"/>
      <c r="B76" s="226" t="s">
        <v>378</v>
      </c>
      <c r="C76" s="227">
        <f>BACare!B62</f>
        <v>3</v>
      </c>
      <c r="D76" s="227">
        <f>BACare!C62</f>
        <v>4</v>
      </c>
      <c r="E76" s="227">
        <f>BACare!D62</f>
        <v>5</v>
      </c>
      <c r="F76" s="227">
        <f>BACare!E62</f>
        <v>5</v>
      </c>
      <c r="G76" s="227">
        <f>BACare!F62</f>
        <v>5</v>
      </c>
      <c r="H76" s="227">
        <f>BACare!G62</f>
        <v>5</v>
      </c>
      <c r="I76" s="227">
        <f>BACare!H62</f>
        <v>5</v>
      </c>
    </row>
    <row r="77" spans="1:16" ht="13.5" thickBot="1">
      <c r="B77" s="54"/>
    </row>
    <row r="78" spans="1:16">
      <c r="A78" s="409" t="s">
        <v>534</v>
      </c>
      <c r="B78" s="410"/>
      <c r="C78" s="228">
        <f>SUM(C50,C46)</f>
        <v>1.3666666666666667</v>
      </c>
      <c r="D78" s="228">
        <f t="shared" ref="D78:I78" si="16">SUM(D50,D46)</f>
        <v>3</v>
      </c>
      <c r="E78" s="228">
        <f t="shared" si="16"/>
        <v>3</v>
      </c>
      <c r="F78" s="228">
        <f t="shared" si="16"/>
        <v>3</v>
      </c>
      <c r="G78" s="228">
        <f t="shared" si="16"/>
        <v>3</v>
      </c>
      <c r="H78" s="228">
        <f t="shared" si="16"/>
        <v>3</v>
      </c>
      <c r="I78" s="229">
        <f t="shared" si="16"/>
        <v>3</v>
      </c>
    </row>
    <row r="79" spans="1:16">
      <c r="A79" s="411" t="s">
        <v>535</v>
      </c>
      <c r="B79" s="408"/>
      <c r="C79" s="230">
        <f>SUM(C14,C18,C22,C26,C30,C34,C38,C42,C66)</f>
        <v>26</v>
      </c>
      <c r="D79" s="230">
        <f t="shared" ref="D79:I79" si="17">SUM(D14,D18,D22,D26,D30,D34,D38,D42,D66)</f>
        <v>39.4</v>
      </c>
      <c r="E79" s="230">
        <f t="shared" si="17"/>
        <v>44.4</v>
      </c>
      <c r="F79" s="230">
        <f t="shared" si="17"/>
        <v>45.800000000000004</v>
      </c>
      <c r="G79" s="230">
        <f t="shared" si="17"/>
        <v>48.8</v>
      </c>
      <c r="H79" s="230">
        <f t="shared" si="17"/>
        <v>49.9</v>
      </c>
      <c r="I79" s="231">
        <f t="shared" si="17"/>
        <v>49.9</v>
      </c>
    </row>
    <row r="80" spans="1:16">
      <c r="A80" s="411" t="s">
        <v>538</v>
      </c>
      <c r="B80" s="408"/>
      <c r="C80" s="230">
        <f>SUM(C54)</f>
        <v>2.9003831417624522</v>
      </c>
      <c r="D80" s="230">
        <f t="shared" ref="D80:I80" si="18">SUM(D54)</f>
        <v>2.8812260536398466</v>
      </c>
      <c r="E80" s="230">
        <f t="shared" si="18"/>
        <v>2.8812260536398466</v>
      </c>
      <c r="F80" s="230">
        <f t="shared" si="18"/>
        <v>2.8812260536398466</v>
      </c>
      <c r="G80" s="230">
        <f t="shared" si="18"/>
        <v>2.8812260536398466</v>
      </c>
      <c r="H80" s="230">
        <f t="shared" si="18"/>
        <v>2.8812260536398466</v>
      </c>
      <c r="I80" s="231">
        <f t="shared" si="18"/>
        <v>2.8812260536398466</v>
      </c>
    </row>
    <row r="81" spans="1:9">
      <c r="A81" s="411" t="s">
        <v>539</v>
      </c>
      <c r="B81" s="408"/>
      <c r="C81" s="230">
        <f>SUM(C70,C62,C58)</f>
        <v>2.5</v>
      </c>
      <c r="D81" s="230">
        <f t="shared" ref="D81:I81" si="19">SUM(D70,D62,D58)</f>
        <v>6.3</v>
      </c>
      <c r="E81" s="230">
        <f t="shared" si="19"/>
        <v>7.2</v>
      </c>
      <c r="F81" s="230">
        <f t="shared" si="19"/>
        <v>7.4</v>
      </c>
      <c r="G81" s="230">
        <f t="shared" si="19"/>
        <v>7.8</v>
      </c>
      <c r="H81" s="230">
        <f t="shared" si="19"/>
        <v>8</v>
      </c>
      <c r="I81" s="231">
        <f t="shared" si="19"/>
        <v>8</v>
      </c>
    </row>
    <row r="82" spans="1:9" ht="13.5" thickBot="1">
      <c r="A82" s="404" t="s">
        <v>537</v>
      </c>
      <c r="B82" s="405"/>
      <c r="C82" s="232">
        <f>C74</f>
        <v>3</v>
      </c>
      <c r="D82" s="232">
        <f t="shared" ref="D82:I82" si="20">D74</f>
        <v>4</v>
      </c>
      <c r="E82" s="232">
        <f t="shared" si="20"/>
        <v>5</v>
      </c>
      <c r="F82" s="232">
        <f t="shared" si="20"/>
        <v>5</v>
      </c>
      <c r="G82" s="232">
        <f t="shared" si="20"/>
        <v>5</v>
      </c>
      <c r="H82" s="232">
        <f t="shared" si="20"/>
        <v>5</v>
      </c>
      <c r="I82" s="233">
        <f t="shared" si="20"/>
        <v>5</v>
      </c>
    </row>
    <row r="83" spans="1:9" ht="13.5" thickBot="1">
      <c r="C83" s="234"/>
      <c r="D83" s="234"/>
      <c r="E83" s="234"/>
      <c r="F83" s="234"/>
      <c r="G83" s="234"/>
      <c r="H83" s="234"/>
      <c r="I83" s="234"/>
    </row>
    <row r="84" spans="1:9" ht="16.5" thickBot="1">
      <c r="A84" s="406" t="s">
        <v>540</v>
      </c>
      <c r="B84" s="407"/>
      <c r="C84" s="235">
        <f>SUM(C78:C82)</f>
        <v>35.767049808429121</v>
      </c>
      <c r="D84" s="235">
        <f t="shared" ref="D84:I84" si="21">SUM(D78:D82)</f>
        <v>55.581226053639845</v>
      </c>
      <c r="E84" s="235">
        <f t="shared" si="21"/>
        <v>62.481226053639851</v>
      </c>
      <c r="F84" s="235">
        <f t="shared" si="21"/>
        <v>64.081226053639853</v>
      </c>
      <c r="G84" s="235">
        <f t="shared" si="21"/>
        <v>67.481226053639844</v>
      </c>
      <c r="H84" s="235">
        <f t="shared" si="21"/>
        <v>68.781226053639841</v>
      </c>
      <c r="I84" s="236">
        <f t="shared" si="21"/>
        <v>68.781226053639841</v>
      </c>
    </row>
  </sheetData>
  <sheetProtection password="DF03" sheet="1" objects="1" scenarios="1"/>
  <mergeCells count="22">
    <mergeCell ref="A46:B46"/>
    <mergeCell ref="A42:B42"/>
    <mergeCell ref="A14:B14"/>
    <mergeCell ref="A18:B18"/>
    <mergeCell ref="A22:B22"/>
    <mergeCell ref="A26:B26"/>
    <mergeCell ref="A30:B30"/>
    <mergeCell ref="A34:B34"/>
    <mergeCell ref="A38:B38"/>
    <mergeCell ref="A50:B50"/>
    <mergeCell ref="A54:B54"/>
    <mergeCell ref="A58:B58"/>
    <mergeCell ref="A62:B62"/>
    <mergeCell ref="A66:B66"/>
    <mergeCell ref="A82:B82"/>
    <mergeCell ref="A84:B84"/>
    <mergeCell ref="A70:B70"/>
    <mergeCell ref="A74:B74"/>
    <mergeCell ref="A78:B78"/>
    <mergeCell ref="A79:B79"/>
    <mergeCell ref="A80:B80"/>
    <mergeCell ref="A81:B81"/>
  </mergeCells>
  <pageMargins left="0.5" right="0.5" top="0.5" bottom="0.5" header="0.3" footer="0.3"/>
  <pageSetup orientation="landscape" r:id="rId1"/>
  <headerFooter>
    <oddFooter>&amp;LComplete Corporate Staffing Summary&amp;CPinellas Preparatory Academy, Inc.&amp;RPage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0"/>
  <sheetViews>
    <sheetView showGridLines="0" view="pageLayout" zoomScale="70" zoomScaleNormal="100" zoomScalePageLayoutView="70" workbookViewId="0"/>
  </sheetViews>
  <sheetFormatPr defaultRowHeight="15"/>
  <cols>
    <col min="1" max="1" width="32.7109375" style="198" bestFit="1" customWidth="1"/>
    <col min="2" max="8" width="11.85546875" style="198" bestFit="1" customWidth="1"/>
    <col min="9" max="12" width="11" style="198" customWidth="1"/>
    <col min="13" max="16384" width="9.140625" style="198"/>
  </cols>
  <sheetData>
    <row r="1" spans="1:11" s="26" customFormat="1" ht="27">
      <c r="A1" s="295" t="s">
        <v>478</v>
      </c>
      <c r="B1" s="295"/>
      <c r="C1" s="295"/>
      <c r="D1" s="295"/>
      <c r="E1" s="295"/>
      <c r="F1" s="295"/>
      <c r="G1" s="295"/>
      <c r="H1" s="295"/>
      <c r="I1" s="295"/>
    </row>
    <row r="2" spans="1:11" s="26" customFormat="1" ht="12.75">
      <c r="A2" s="27" t="s">
        <v>42</v>
      </c>
      <c r="J2" s="28"/>
      <c r="K2" s="29"/>
    </row>
    <row r="3" spans="1:11" s="26" customFormat="1" ht="12.75">
      <c r="A3" s="193" t="s">
        <v>45</v>
      </c>
      <c r="B3" s="192" t="s">
        <v>22</v>
      </c>
      <c r="C3" s="192" t="s">
        <v>98</v>
      </c>
      <c r="D3" s="192" t="s">
        <v>99</v>
      </c>
      <c r="E3" s="192" t="s">
        <v>100</v>
      </c>
      <c r="F3" s="192" t="s">
        <v>101</v>
      </c>
      <c r="G3" s="192" t="s">
        <v>102</v>
      </c>
      <c r="H3" s="192" t="s">
        <v>103</v>
      </c>
      <c r="J3" s="28"/>
      <c r="K3" s="29"/>
    </row>
    <row r="4" spans="1:11" s="26" customFormat="1" ht="12.75">
      <c r="A4" s="194" t="s">
        <v>468</v>
      </c>
      <c r="B4" s="197">
        <f>Combined!B10</f>
        <v>2481454.04</v>
      </c>
      <c r="C4" s="197">
        <f>Combined!C10</f>
        <v>2466474.1088</v>
      </c>
      <c r="D4" s="197">
        <f>Combined!D10</f>
        <v>2475847.8210960003</v>
      </c>
      <c r="E4" s="197">
        <f>Combined!E10</f>
        <v>2486553.00881832</v>
      </c>
      <c r="F4" s="197">
        <f>Combined!F10</f>
        <v>2498243.7596569546</v>
      </c>
      <c r="G4" s="197">
        <f>Combined!G10</f>
        <v>2511101.2403439395</v>
      </c>
      <c r="H4" s="197">
        <f>Combined!H10</f>
        <v>2525053.1323905606</v>
      </c>
      <c r="J4" s="28"/>
      <c r="K4" s="29"/>
    </row>
    <row r="5" spans="1:11" s="26" customFormat="1" ht="13.5" thickBot="1">
      <c r="A5" s="195" t="s">
        <v>469</v>
      </c>
      <c r="B5" s="165">
        <f>Combined!B11</f>
        <v>2491374.6587593649</v>
      </c>
      <c r="C5" s="165">
        <f>Combined!C11</f>
        <v>2454934.7158448631</v>
      </c>
      <c r="D5" s="165">
        <f>Combined!D11</f>
        <v>2473483.6744637955</v>
      </c>
      <c r="E5" s="165">
        <f>Combined!E11</f>
        <v>2572276.0881462907</v>
      </c>
      <c r="F5" s="165">
        <f>Combined!F11</f>
        <v>2577950.2565252045</v>
      </c>
      <c r="G5" s="165">
        <f>Combined!G11</f>
        <v>2564082.7580324328</v>
      </c>
      <c r="H5" s="165">
        <f>Combined!H11</f>
        <v>2601360.873841804</v>
      </c>
      <c r="J5" s="28"/>
      <c r="K5" s="29"/>
    </row>
    <row r="6" spans="1:11" s="26" customFormat="1" ht="13.5" thickBot="1">
      <c r="A6" s="166" t="s">
        <v>470</v>
      </c>
      <c r="B6" s="167">
        <f>Combined!B12</f>
        <v>-9920.618759364821</v>
      </c>
      <c r="C6" s="167">
        <f>Combined!C12</f>
        <v>11539.392955136951</v>
      </c>
      <c r="D6" s="167">
        <f>Combined!D12</f>
        <v>2364.1466322047636</v>
      </c>
      <c r="E6" s="167">
        <f>Combined!E12</f>
        <v>-85723.079327970743</v>
      </c>
      <c r="F6" s="167">
        <f>Combined!F12</f>
        <v>-79706.49686824996</v>
      </c>
      <c r="G6" s="167">
        <f>Combined!G12</f>
        <v>-52981.517688493244</v>
      </c>
      <c r="H6" s="167">
        <f>Combined!H12</f>
        <v>-76307.741451243404</v>
      </c>
      <c r="J6" s="28"/>
      <c r="K6" s="29"/>
    </row>
    <row r="7" spans="1:11" s="26" customFormat="1" ht="13.5" thickTop="1">
      <c r="A7" s="194" t="s">
        <v>472</v>
      </c>
      <c r="B7" s="197">
        <f>Combined!B5</f>
        <v>0</v>
      </c>
      <c r="C7" s="197">
        <f>Combined!C5</f>
        <v>1252328.7231999999</v>
      </c>
      <c r="D7" s="197">
        <f>Combined!D5</f>
        <v>1781024.786176</v>
      </c>
      <c r="E7" s="197">
        <f>Combined!E5</f>
        <v>1915060.8153737602</v>
      </c>
      <c r="F7" s="197">
        <f>Combined!F5</f>
        <v>2174233.4414608451</v>
      </c>
      <c r="G7" s="197">
        <f>Combined!G5</f>
        <v>2312229.8141044201</v>
      </c>
      <c r="H7" s="197">
        <f>Combined!H5</f>
        <v>2327082.1454618643</v>
      </c>
      <c r="J7" s="28"/>
      <c r="K7" s="29"/>
    </row>
    <row r="8" spans="1:11" s="26" customFormat="1" ht="13.5" thickBot="1">
      <c r="A8" s="195" t="s">
        <v>473</v>
      </c>
      <c r="B8" s="165">
        <f>Combined!B6</f>
        <v>15745.9</v>
      </c>
      <c r="C8" s="165">
        <f>Combined!C6</f>
        <v>1324448.1186986249</v>
      </c>
      <c r="D8" s="165">
        <f>Combined!D6</f>
        <v>1699782.3793936544</v>
      </c>
      <c r="E8" s="165">
        <f>Combined!E6</f>
        <v>1845775.9388543332</v>
      </c>
      <c r="F8" s="165">
        <f>Combined!F6</f>
        <v>2108593.5856019137</v>
      </c>
      <c r="G8" s="165">
        <f>Combined!G6</f>
        <v>2216548.3861227771</v>
      </c>
      <c r="H8" s="165">
        <f>Combined!H6</f>
        <v>2276941.2047650977</v>
      </c>
      <c r="J8" s="28"/>
      <c r="K8" s="29"/>
    </row>
    <row r="9" spans="1:11" s="26" customFormat="1" ht="13.5" thickBot="1">
      <c r="A9" s="166" t="s">
        <v>474</v>
      </c>
      <c r="B9" s="167">
        <f>Combined!B7</f>
        <v>-15745.9</v>
      </c>
      <c r="C9" s="167">
        <f>Combined!C7</f>
        <v>-72119.395498625003</v>
      </c>
      <c r="D9" s="167">
        <f>Combined!D7</f>
        <v>81242.406782345613</v>
      </c>
      <c r="E9" s="167">
        <f>Combined!E7</f>
        <v>69284.876519426936</v>
      </c>
      <c r="F9" s="167">
        <f>Combined!F7</f>
        <v>65639.855858931318</v>
      </c>
      <c r="G9" s="167">
        <f>Combined!G7</f>
        <v>95681.427981643006</v>
      </c>
      <c r="H9" s="167">
        <f>Combined!H7</f>
        <v>50140.9406967666</v>
      </c>
      <c r="J9" s="28"/>
      <c r="K9" s="29"/>
    </row>
    <row r="10" spans="1:11" s="26" customFormat="1" ht="13.5" thickTop="1">
      <c r="A10" s="168" t="s">
        <v>471</v>
      </c>
      <c r="B10" s="169">
        <f>Combined!B28</f>
        <v>635.36344863520935</v>
      </c>
      <c r="C10" s="169">
        <f>Combined!C28</f>
        <v>4088.3836645120755</v>
      </c>
      <c r="D10" s="169">
        <f>Combined!D28</f>
        <v>159558.14362255018</v>
      </c>
      <c r="E10" s="169">
        <f>Combined!E28</f>
        <v>58755.307399456389</v>
      </c>
      <c r="F10" s="169">
        <f>Combined!F28</f>
        <v>71968.6691986816</v>
      </c>
      <c r="G10" s="169">
        <f>Combined!G28</f>
        <v>132388.22050115</v>
      </c>
      <c r="H10" s="169">
        <f>Combined!H28</f>
        <v>63737.509453523904</v>
      </c>
      <c r="J10" s="28"/>
      <c r="K10" s="29"/>
    </row>
    <row r="11" spans="1:11" s="26" customFormat="1" ht="12.75"/>
    <row r="12" spans="1:11" ht="23.25" thickBot="1">
      <c r="A12" s="34" t="s">
        <v>475</v>
      </c>
      <c r="B12" s="35"/>
      <c r="C12" s="35"/>
      <c r="D12" s="35"/>
      <c r="E12" s="35"/>
      <c r="F12" s="35"/>
      <c r="G12" s="35"/>
      <c r="H12" s="35"/>
      <c r="I12" s="35"/>
    </row>
    <row r="13" spans="1:11">
      <c r="A13" s="146" t="s">
        <v>373</v>
      </c>
      <c r="B13" s="147" t="s">
        <v>374</v>
      </c>
      <c r="C13" s="147" t="s">
        <v>375</v>
      </c>
    </row>
    <row r="14" spans="1:11">
      <c r="A14" s="194" t="s">
        <v>376</v>
      </c>
      <c r="B14" s="220">
        <v>0.27083333333333331</v>
      </c>
      <c r="C14" s="220">
        <v>0.26041666666666669</v>
      </c>
    </row>
    <row r="15" spans="1:11">
      <c r="A15" s="194" t="s">
        <v>377</v>
      </c>
      <c r="B15" s="220">
        <v>0.32291666666666669</v>
      </c>
      <c r="C15" s="220">
        <v>0.34375</v>
      </c>
    </row>
    <row r="16" spans="1:11">
      <c r="C16" s="303">
        <f>HOUR(C15-C14)+(MINUTE(C15-C14)/60)</f>
        <v>2</v>
      </c>
    </row>
    <row r="17" spans="1:3">
      <c r="A17" s="146" t="s">
        <v>378</v>
      </c>
      <c r="B17" s="147" t="s">
        <v>374</v>
      </c>
      <c r="C17" s="147" t="s">
        <v>375</v>
      </c>
    </row>
    <row r="18" spans="1:3">
      <c r="A18" s="194" t="s">
        <v>376</v>
      </c>
      <c r="B18" s="220">
        <v>0.625</v>
      </c>
      <c r="C18" s="220">
        <v>0.61458333333333337</v>
      </c>
    </row>
    <row r="19" spans="1:3">
      <c r="A19" s="194" t="s">
        <v>377</v>
      </c>
      <c r="B19" s="220">
        <v>0.75</v>
      </c>
      <c r="C19" s="220">
        <v>0.76041666666666663</v>
      </c>
    </row>
    <row r="20" spans="1:3">
      <c r="A20" s="194" t="s">
        <v>379</v>
      </c>
      <c r="B20" s="220">
        <v>0.54166666666666663</v>
      </c>
      <c r="C20" s="220">
        <v>0.53125</v>
      </c>
    </row>
    <row r="21" spans="1:3">
      <c r="C21" s="303">
        <f>HOUR(C19-C18)+(MINUTE(C19-C18)/60)</f>
        <v>3.5</v>
      </c>
    </row>
    <row r="22" spans="1:3">
      <c r="A22" s="146" t="s">
        <v>380</v>
      </c>
      <c r="C22" s="303">
        <f>HOUR(C19-C20)+(MINUTE(C19-C20)/60)</f>
        <v>5.5</v>
      </c>
    </row>
    <row r="23" spans="1:3">
      <c r="A23" s="194" t="s">
        <v>373</v>
      </c>
      <c r="B23" s="221">
        <v>2</v>
      </c>
    </row>
    <row r="24" spans="1:3">
      <c r="A24" s="194" t="s">
        <v>378</v>
      </c>
      <c r="B24" s="221">
        <v>10</v>
      </c>
    </row>
    <row r="26" spans="1:3">
      <c r="A26" s="194" t="s">
        <v>381</v>
      </c>
      <c r="B26" s="170">
        <v>0.5</v>
      </c>
    </row>
    <row r="27" spans="1:3">
      <c r="A27" s="194" t="s">
        <v>382</v>
      </c>
      <c r="B27" s="170">
        <v>0.75</v>
      </c>
    </row>
    <row r="28" spans="1:3">
      <c r="A28" s="194" t="s">
        <v>383</v>
      </c>
      <c r="B28" s="170">
        <v>0.2</v>
      </c>
    </row>
    <row r="30" spans="1:3">
      <c r="A30" s="194" t="s">
        <v>384</v>
      </c>
      <c r="B30" s="170">
        <v>0.1</v>
      </c>
    </row>
    <row r="31" spans="1:3">
      <c r="A31" s="194" t="s">
        <v>385</v>
      </c>
      <c r="B31" s="170">
        <v>0.3</v>
      </c>
    </row>
    <row r="32" spans="1:3">
      <c r="A32" s="194" t="s">
        <v>386</v>
      </c>
      <c r="B32" s="170">
        <v>0.02</v>
      </c>
    </row>
    <row r="34" spans="1:4">
      <c r="A34" s="194" t="s">
        <v>387</v>
      </c>
      <c r="B34" s="221">
        <v>500</v>
      </c>
    </row>
    <row r="35" spans="1:4">
      <c r="A35" s="194" t="s">
        <v>428</v>
      </c>
      <c r="B35" s="221">
        <v>3.8</v>
      </c>
      <c r="D35" s="208"/>
    </row>
    <row r="36" spans="1:4">
      <c r="A36" s="194" t="s">
        <v>388</v>
      </c>
      <c r="B36" s="261">
        <v>37</v>
      </c>
    </row>
    <row r="37" spans="1:4">
      <c r="A37" s="194" t="s">
        <v>389</v>
      </c>
      <c r="B37" s="261">
        <v>179</v>
      </c>
    </row>
    <row r="38" spans="1:4">
      <c r="A38" s="194" t="s">
        <v>390</v>
      </c>
      <c r="B38" s="261">
        <v>1</v>
      </c>
    </row>
    <row r="39" spans="1:4">
      <c r="A39" s="194" t="s">
        <v>391</v>
      </c>
      <c r="B39" s="261">
        <v>22</v>
      </c>
    </row>
    <row r="41" spans="1:4">
      <c r="A41" s="194" t="s">
        <v>392</v>
      </c>
      <c r="B41" s="221">
        <v>11.42</v>
      </c>
    </row>
    <row r="42" spans="1:4">
      <c r="A42" s="194" t="s">
        <v>393</v>
      </c>
      <c r="B42" s="221">
        <v>10</v>
      </c>
    </row>
    <row r="43" spans="1:4">
      <c r="A43" s="194" t="s">
        <v>394</v>
      </c>
      <c r="B43" s="261">
        <v>2</v>
      </c>
    </row>
    <row r="45" spans="1:4">
      <c r="A45" s="194" t="s">
        <v>395</v>
      </c>
      <c r="B45" s="146" t="s">
        <v>373</v>
      </c>
      <c r="C45" s="146" t="s">
        <v>378</v>
      </c>
    </row>
    <row r="46" spans="1:4">
      <c r="A46" s="194" t="s">
        <v>396</v>
      </c>
      <c r="B46" s="170">
        <v>0.08</v>
      </c>
      <c r="C46" s="170">
        <v>0.2</v>
      </c>
    </row>
    <row r="47" spans="1:4">
      <c r="A47" s="194" t="s">
        <v>398</v>
      </c>
      <c r="B47" s="170">
        <v>7.0000000000000007E-2</v>
      </c>
      <c r="C47" s="170">
        <v>0.13</v>
      </c>
    </row>
    <row r="48" spans="1:4">
      <c r="A48" s="194" t="s">
        <v>399</v>
      </c>
      <c r="B48" s="170">
        <v>0.06</v>
      </c>
      <c r="C48" s="170">
        <v>0.1</v>
      </c>
    </row>
    <row r="51" spans="1:8">
      <c r="A51" s="193" t="s">
        <v>45</v>
      </c>
      <c r="B51" s="192" t="s">
        <v>22</v>
      </c>
      <c r="C51" s="192" t="s">
        <v>98</v>
      </c>
      <c r="D51" s="192" t="s">
        <v>99</v>
      </c>
      <c r="E51" s="192" t="s">
        <v>100</v>
      </c>
      <c r="F51" s="192" t="s">
        <v>101</v>
      </c>
      <c r="G51" s="192" t="s">
        <v>102</v>
      </c>
      <c r="H51" s="192" t="s">
        <v>103</v>
      </c>
    </row>
    <row r="52" spans="1:8">
      <c r="A52" s="194" t="s">
        <v>400</v>
      </c>
      <c r="B52" s="266">
        <f>('PPAJr-Staff'!C12*'PPAJr-Staff'!$E$20)+('PPAJr-Staff'!C13*'PPAJr-Staff'!$E$21)+('PPAJr-Staff'!C14*'PPAJr-Staff'!$E$22)+('PPAJr-Staff'!C15*'PPAJr-Staff'!$E$23)+('PPAJr-Staff'!C16*'PPAJr-Staff'!$E$24)</f>
        <v>0</v>
      </c>
      <c r="C52" s="266">
        <f>('PPAJr-Staff'!D12*'PPAJr-Staff'!$E$20)+('PPAJr-Staff'!D13*'PPAJr-Staff'!$E$21)+('PPAJr-Staff'!D14*'PPAJr-Staff'!$E$22)+('PPAJr-Staff'!D15*'PPAJr-Staff'!$E$23)+('PPAJr-Staff'!D16*'PPAJr-Staff'!$E$24)</f>
        <v>153</v>
      </c>
      <c r="D52" s="266">
        <f>('PPAJr-Staff'!E12*'PPAJr-Staff'!$E$20)+('PPAJr-Staff'!E13*'PPAJr-Staff'!$E$21)+('PPAJr-Staff'!E14*'PPAJr-Staff'!$E$22)+('PPAJr-Staff'!E15*'PPAJr-Staff'!$E$23)+('PPAJr-Staff'!E16*'PPAJr-Staff'!$E$24)</f>
        <v>204</v>
      </c>
      <c r="E52" s="266">
        <f>('PPAJr-Staff'!F12*'PPAJr-Staff'!$E$20)+('PPAJr-Staff'!F13*'PPAJr-Staff'!$E$21)+('PPAJr-Staff'!F14*'PPAJr-Staff'!$E$22)+('PPAJr-Staff'!F15*'PPAJr-Staff'!$E$23)+('PPAJr-Staff'!F16*'PPAJr-Staff'!$E$24)</f>
        <v>221</v>
      </c>
      <c r="F52" s="266">
        <f>('PPAJr-Staff'!G12*'PPAJr-Staff'!$E$20)+('PPAJr-Staff'!G13*'PPAJr-Staff'!$E$21)+('PPAJr-Staff'!G14*'PPAJr-Staff'!$E$22)+('PPAJr-Staff'!G15*'PPAJr-Staff'!$E$23)+('PPAJr-Staff'!G16*'PPAJr-Staff'!$E$24)</f>
        <v>255</v>
      </c>
      <c r="G52" s="266">
        <f>('PPAJr-Staff'!H12*'PPAJr-Staff'!$E$20)+('PPAJr-Staff'!H13*'PPAJr-Staff'!$E$21)+('PPAJr-Staff'!H14*'PPAJr-Staff'!$E$22)+('PPAJr-Staff'!H15*'PPAJr-Staff'!$E$23)+('PPAJr-Staff'!H16*'PPAJr-Staff'!$E$24)</f>
        <v>272</v>
      </c>
      <c r="H52" s="266">
        <f>('PPAJr-Staff'!I12*'PPAJr-Staff'!$E$20)+('PPAJr-Staff'!I13*'PPAJr-Staff'!$E$21)+('PPAJr-Staff'!I14*'PPAJr-Staff'!$E$22)+('PPAJr-Staff'!I15*'PPAJr-Staff'!$E$23)+('PPAJr-Staff'!I16*'PPAJr-Staff'!$E$24)</f>
        <v>272</v>
      </c>
    </row>
    <row r="53" spans="1:8">
      <c r="A53" s="194" t="s">
        <v>401</v>
      </c>
      <c r="B53" s="266">
        <f>'PPAJr-Staff'!C17*'PPAJr-Staff'!$E$25</f>
        <v>0</v>
      </c>
      <c r="C53" s="266">
        <f>'PPAJr-Staff'!D17*'PPAJr-Staff'!$E$25</f>
        <v>21</v>
      </c>
      <c r="D53" s="266">
        <f>'PPAJr-Staff'!E17*'PPAJr-Staff'!$E$25</f>
        <v>42</v>
      </c>
      <c r="E53" s="266">
        <f>'PPAJr-Staff'!F17*'PPAJr-Staff'!$E$25</f>
        <v>42</v>
      </c>
      <c r="F53" s="266">
        <f>'PPAJr-Staff'!G17*'PPAJr-Staff'!$E$25</f>
        <v>42</v>
      </c>
      <c r="G53" s="266">
        <f>'PPAJr-Staff'!H17*'PPAJr-Staff'!$E$25</f>
        <v>42</v>
      </c>
      <c r="H53" s="266">
        <f>'PPAJr-Staff'!I17*'PPAJr-Staff'!$E$25</f>
        <v>42</v>
      </c>
    </row>
    <row r="54" spans="1:8">
      <c r="A54" s="194" t="s">
        <v>402</v>
      </c>
      <c r="B54" s="266">
        <f>('PPA-Staff'!C12*'PPA-Staff'!$E$19)+('PPA-Staff'!C13*'PPA-Staff'!$E$20)+('PPA-Staff'!C14*'PPA-Staff'!$E$21)</f>
        <v>217</v>
      </c>
      <c r="C54" s="266">
        <f>('PPA-Staff'!D12*'PPA-Staff'!$E$19)+('PPA-Staff'!D13*'PPA-Staff'!$E$20)+('PPA-Staff'!D14*'PPA-Staff'!$E$21)</f>
        <v>217</v>
      </c>
      <c r="D54" s="266">
        <f>('PPA-Staff'!E12*'PPA-Staff'!$E$19)+('PPA-Staff'!E13*'PPA-Staff'!$E$20)+('PPA-Staff'!E14*'PPA-Staff'!$E$21)</f>
        <v>217</v>
      </c>
      <c r="E54" s="266">
        <f>('PPA-Staff'!F12*'PPA-Staff'!$E$19)+('PPA-Staff'!F13*'PPA-Staff'!$E$20)+('PPA-Staff'!F14*'PPA-Staff'!$E$21)</f>
        <v>217</v>
      </c>
      <c r="F54" s="266">
        <f>('PPA-Staff'!G12*'PPA-Staff'!$E$19)+('PPA-Staff'!G13*'PPA-Staff'!$E$20)+('PPA-Staff'!G14*'PPA-Staff'!$E$21)</f>
        <v>217</v>
      </c>
      <c r="G54" s="266">
        <f>('PPA-Staff'!H12*'PPA-Staff'!$E$19)+('PPA-Staff'!H13*'PPA-Staff'!$E$20)+('PPA-Staff'!H14*'PPA-Staff'!$E$21)</f>
        <v>217</v>
      </c>
      <c r="H54" s="266">
        <f>('PPA-Staff'!I12*'PPA-Staff'!$E$19)+('PPA-Staff'!I13*'PPA-Staff'!$E$20)+('PPA-Staff'!I14*'PPA-Staff'!$E$21)</f>
        <v>217</v>
      </c>
    </row>
    <row r="55" spans="1:8">
      <c r="A55" s="194" t="s">
        <v>403</v>
      </c>
      <c r="B55" s="267">
        <f>('PPA-Staff'!C15*'PPA-Staff'!$E$22)+('PPA-Staff'!C16*'PPA-Staff'!$E$23)</f>
        <v>173</v>
      </c>
      <c r="C55" s="267">
        <f>('PPA-Staff'!D15*'PPA-Staff'!$E$22)+('PPA-Staff'!D16*'PPA-Staff'!$E$23)</f>
        <v>173</v>
      </c>
      <c r="D55" s="267">
        <f>('PPA-Staff'!E15*'PPA-Staff'!$E$22)+('PPA-Staff'!E16*'PPA-Staff'!$E$23)</f>
        <v>173</v>
      </c>
      <c r="E55" s="267">
        <f>('PPA-Staff'!F15*'PPA-Staff'!$E$22)+('PPA-Staff'!F16*'PPA-Staff'!$E$23)</f>
        <v>173</v>
      </c>
      <c r="F55" s="267">
        <f>('PPA-Staff'!G15*'PPA-Staff'!$E$22)+('PPA-Staff'!G16*'PPA-Staff'!$E$23)</f>
        <v>173</v>
      </c>
      <c r="G55" s="267">
        <f>('PPA-Staff'!H15*'PPA-Staff'!$E$22)+('PPA-Staff'!H16*'PPA-Staff'!$E$23)</f>
        <v>173</v>
      </c>
      <c r="H55" s="267">
        <f>('PPA-Staff'!I15*'PPA-Staff'!$E$22)+('PPA-Staff'!I16*'PPA-Staff'!$E$23)</f>
        <v>173</v>
      </c>
    </row>
    <row r="56" spans="1:8">
      <c r="B56" s="262"/>
      <c r="C56" s="262"/>
      <c r="D56" s="262"/>
      <c r="E56" s="262"/>
      <c r="F56" s="262"/>
      <c r="G56" s="262"/>
      <c r="H56" s="262"/>
    </row>
    <row r="57" spans="1:8">
      <c r="A57" s="194" t="s">
        <v>404</v>
      </c>
      <c r="B57" s="268">
        <f>ROUNDDOWN(($B$46*(B52))+($B$47*(B53+B54))+($B$48*B55),0)</f>
        <v>25</v>
      </c>
      <c r="C57" s="268">
        <f t="shared" ref="C57:H57" si="0">ROUNDDOWN(($B$46*(C52))+($B$47*(C53+C54))+($B$48*C55),0)</f>
        <v>39</v>
      </c>
      <c r="D57" s="268">
        <f t="shared" si="0"/>
        <v>44</v>
      </c>
      <c r="E57" s="268">
        <f t="shared" si="0"/>
        <v>46</v>
      </c>
      <c r="F57" s="268">
        <f t="shared" si="0"/>
        <v>48</v>
      </c>
      <c r="G57" s="268">
        <f t="shared" si="0"/>
        <v>50</v>
      </c>
      <c r="H57" s="268">
        <f t="shared" si="0"/>
        <v>50</v>
      </c>
    </row>
    <row r="58" spans="1:8">
      <c r="A58" s="194" t="s">
        <v>405</v>
      </c>
      <c r="B58" s="268">
        <f>ROUNDDOWN(($C$46*B52)+($C$47*(B53+B54))+($C$48*B55),0)</f>
        <v>45</v>
      </c>
      <c r="C58" s="268">
        <f t="shared" ref="C58:H58" si="1">ROUNDDOWN(($C$46*C52)+($C$47*(C53+C54))+($C$48*C55),0)</f>
        <v>78</v>
      </c>
      <c r="D58" s="268">
        <f t="shared" si="1"/>
        <v>91</v>
      </c>
      <c r="E58" s="268">
        <f t="shared" si="1"/>
        <v>95</v>
      </c>
      <c r="F58" s="268">
        <f t="shared" si="1"/>
        <v>101</v>
      </c>
      <c r="G58" s="268">
        <f t="shared" si="1"/>
        <v>105</v>
      </c>
      <c r="H58" s="268">
        <f t="shared" si="1"/>
        <v>105</v>
      </c>
    </row>
    <row r="60" spans="1:8">
      <c r="A60" s="193" t="s">
        <v>406</v>
      </c>
      <c r="B60" s="192" t="s">
        <v>22</v>
      </c>
      <c r="C60" s="192" t="s">
        <v>98</v>
      </c>
      <c r="D60" s="192" t="s">
        <v>99</v>
      </c>
      <c r="E60" s="192" t="s">
        <v>100</v>
      </c>
      <c r="F60" s="192" t="s">
        <v>101</v>
      </c>
      <c r="G60" s="192" t="s">
        <v>102</v>
      </c>
      <c r="H60" s="192" t="s">
        <v>103</v>
      </c>
    </row>
    <row r="61" spans="1:8">
      <c r="A61" s="194" t="s">
        <v>373</v>
      </c>
      <c r="B61" s="269">
        <f>ROUNDUP(B57/$B$39,0)</f>
        <v>2</v>
      </c>
      <c r="C61" s="269">
        <f t="shared" ref="C61:H61" si="2">ROUNDUP(C57/$B$39,0)</f>
        <v>2</v>
      </c>
      <c r="D61" s="269">
        <f t="shared" si="2"/>
        <v>2</v>
      </c>
      <c r="E61" s="269">
        <f t="shared" si="2"/>
        <v>3</v>
      </c>
      <c r="F61" s="269">
        <f t="shared" si="2"/>
        <v>3</v>
      </c>
      <c r="G61" s="269">
        <f t="shared" si="2"/>
        <v>3</v>
      </c>
      <c r="H61" s="269">
        <f t="shared" si="2"/>
        <v>3</v>
      </c>
    </row>
    <row r="62" spans="1:8">
      <c r="A62" s="194" t="s">
        <v>378</v>
      </c>
      <c r="B62" s="269">
        <f>ROUNDUP(B58/$B$39,0)</f>
        <v>3</v>
      </c>
      <c r="C62" s="269">
        <f t="shared" ref="C62:H62" si="3">ROUNDUP(C58/$B$39,0)</f>
        <v>4</v>
      </c>
      <c r="D62" s="269">
        <f t="shared" si="3"/>
        <v>5</v>
      </c>
      <c r="E62" s="269">
        <f t="shared" si="3"/>
        <v>5</v>
      </c>
      <c r="F62" s="269">
        <f t="shared" si="3"/>
        <v>5</v>
      </c>
      <c r="G62" s="269">
        <f t="shared" si="3"/>
        <v>5</v>
      </c>
      <c r="H62" s="269">
        <f t="shared" si="3"/>
        <v>5</v>
      </c>
    </row>
    <row r="63" spans="1:8">
      <c r="B63" s="262"/>
      <c r="C63" s="262"/>
      <c r="D63" s="262"/>
      <c r="E63" s="262"/>
      <c r="F63" s="262"/>
      <c r="G63" s="262"/>
      <c r="H63" s="262"/>
    </row>
    <row r="64" spans="1:8">
      <c r="A64" s="194" t="s">
        <v>407</v>
      </c>
      <c r="B64" s="269">
        <f>(($C$16+$C$21)*$B$37)+(($C$16+$C$22)*$B$38)</f>
        <v>992</v>
      </c>
      <c r="C64" s="269">
        <f t="shared" ref="C64:H64" si="4">(($C$16+$C$21)*$B$37)+(($C$16+$C$22)*$B$38)</f>
        <v>992</v>
      </c>
      <c r="D64" s="269">
        <f t="shared" si="4"/>
        <v>992</v>
      </c>
      <c r="E64" s="269">
        <f t="shared" si="4"/>
        <v>992</v>
      </c>
      <c r="F64" s="269">
        <f t="shared" si="4"/>
        <v>992</v>
      </c>
      <c r="G64" s="269">
        <f t="shared" si="4"/>
        <v>992</v>
      </c>
      <c r="H64" s="269">
        <f t="shared" si="4"/>
        <v>992</v>
      </c>
    </row>
    <row r="65" spans="1:8">
      <c r="A65" s="194" t="s">
        <v>408</v>
      </c>
      <c r="B65" s="269">
        <f>((B61-1)*($C$16*($B$37+$B$38)))+((B62-1)*(($C$21*$B$37)+($C$22*$B$38)))</f>
        <v>1624</v>
      </c>
      <c r="C65" s="269">
        <f t="shared" ref="C65:H65" si="5">((C61-1)*($C$16*($B$37+$B$38)))+((C62-1)*(($C$21*$B$37)+($C$22*$B$38)))</f>
        <v>2256</v>
      </c>
      <c r="D65" s="269">
        <f t="shared" si="5"/>
        <v>2888</v>
      </c>
      <c r="E65" s="269">
        <f t="shared" si="5"/>
        <v>3248</v>
      </c>
      <c r="F65" s="269">
        <f t="shared" si="5"/>
        <v>3248</v>
      </c>
      <c r="G65" s="269">
        <f t="shared" si="5"/>
        <v>3248</v>
      </c>
      <c r="H65" s="269">
        <f t="shared" si="5"/>
        <v>3248</v>
      </c>
    </row>
    <row r="66" spans="1:8">
      <c r="A66" s="194" t="s">
        <v>409</v>
      </c>
      <c r="B66" s="218">
        <f>(B64*$B$41)+(B65*$B$42)</f>
        <v>27568.639999999999</v>
      </c>
      <c r="C66" s="218">
        <f t="shared" ref="C66:H66" si="6">(C64*$B$41)+(C65*$B$42)</f>
        <v>33888.639999999999</v>
      </c>
      <c r="D66" s="218">
        <f t="shared" si="6"/>
        <v>40208.639999999999</v>
      </c>
      <c r="E66" s="218">
        <f t="shared" si="6"/>
        <v>43808.639999999999</v>
      </c>
      <c r="F66" s="218">
        <f t="shared" si="6"/>
        <v>43808.639999999999</v>
      </c>
      <c r="G66" s="218">
        <f t="shared" si="6"/>
        <v>43808.639999999999</v>
      </c>
      <c r="H66" s="218">
        <f t="shared" si="6"/>
        <v>43808.639999999999</v>
      </c>
    </row>
    <row r="67" spans="1:8">
      <c r="A67" s="194" t="s">
        <v>175</v>
      </c>
      <c r="B67" s="218">
        <f>SharedStaff!C71*B66</f>
        <v>2109.0009599999998</v>
      </c>
      <c r="C67" s="218">
        <f>SharedStaff!D71*C66</f>
        <v>2592.4809599999999</v>
      </c>
      <c r="D67" s="218">
        <f>SharedStaff!E71*D66</f>
        <v>3075.9609599999999</v>
      </c>
      <c r="E67" s="218">
        <f>SharedStaff!F71*E66</f>
        <v>3351.36096</v>
      </c>
      <c r="F67" s="218">
        <f>SharedStaff!G71*F66</f>
        <v>3351.36096</v>
      </c>
      <c r="G67" s="218">
        <f>SharedStaff!H71*G66</f>
        <v>3351.36096</v>
      </c>
      <c r="H67" s="218">
        <f>SharedStaff!I71*H66</f>
        <v>3351.36096</v>
      </c>
    </row>
    <row r="68" spans="1:8">
      <c r="A68" s="194" t="s">
        <v>66</v>
      </c>
      <c r="B68" s="218">
        <f>SharedStaff!C72*B66</f>
        <v>146.11379199999999</v>
      </c>
      <c r="C68" s="218">
        <f>SharedStaff!D72*C66</f>
        <v>179.609792</v>
      </c>
      <c r="D68" s="218">
        <f>SharedStaff!E72*D66</f>
        <v>213.10579200000001</v>
      </c>
      <c r="E68" s="218">
        <f>SharedStaff!F72*E66</f>
        <v>232.18579199999999</v>
      </c>
      <c r="F68" s="218">
        <f>SharedStaff!G72*F66</f>
        <v>232.18579199999999</v>
      </c>
      <c r="G68" s="218">
        <f>SharedStaff!H72*G66</f>
        <v>232.18579199999999</v>
      </c>
      <c r="H68" s="218">
        <f>SharedStaff!I72*H66</f>
        <v>232.18579199999999</v>
      </c>
    </row>
    <row r="69" spans="1:8">
      <c r="A69" s="194" t="s">
        <v>410</v>
      </c>
      <c r="B69" s="218">
        <f>(SharedStaff!C75*SharedStaff!C76)*SUM(B61:B62)</f>
        <v>1890</v>
      </c>
      <c r="C69" s="218">
        <f>(SharedStaff!D75*SharedStaff!D76)*SUM(C61:C62)</f>
        <v>2592</v>
      </c>
      <c r="D69" s="218">
        <f>(SharedStaff!E75*SharedStaff!E76)*SUM(D61:D62)</f>
        <v>3024</v>
      </c>
      <c r="E69" s="218">
        <f>(SharedStaff!F75*SharedStaff!F76)*SUM(E61:E62)</f>
        <v>3240</v>
      </c>
      <c r="F69" s="218">
        <f>(SharedStaff!G75*SharedStaff!G76)*SUM(F61:F62)</f>
        <v>3024</v>
      </c>
      <c r="G69" s="218">
        <f>(SharedStaff!H75*SharedStaff!H76)*SUM(G61:G62)</f>
        <v>2808</v>
      </c>
      <c r="H69" s="218">
        <f>(SharedStaff!I75*SharedStaff!I76)*SUM(H61:H62)</f>
        <v>2592</v>
      </c>
    </row>
    <row r="70" spans="1:8">
      <c r="A70" s="194" t="s">
        <v>429</v>
      </c>
      <c r="B70" s="218">
        <f>SharedStaff!C70*B66</f>
        <v>647.86303999999996</v>
      </c>
      <c r="C70" s="218">
        <f>SharedStaff!D70*C66</f>
        <v>796.38303999999994</v>
      </c>
      <c r="D70" s="218">
        <f>SharedStaff!E70*D66</f>
        <v>944.90304000000003</v>
      </c>
      <c r="E70" s="218">
        <f>SharedStaff!F70*E66</f>
        <v>1029.5030400000001</v>
      </c>
      <c r="F70" s="218">
        <f>SharedStaff!G70*F66</f>
        <v>1029.5030400000001</v>
      </c>
      <c r="G70" s="218">
        <f>SharedStaff!H70*G66</f>
        <v>1029.5030400000001</v>
      </c>
      <c r="H70" s="218">
        <f>SharedStaff!I70*H66</f>
        <v>1029.5030400000001</v>
      </c>
    </row>
    <row r="72" spans="1:8">
      <c r="A72" s="193" t="s">
        <v>417</v>
      </c>
      <c r="B72" s="192" t="s">
        <v>22</v>
      </c>
      <c r="C72" s="192" t="s">
        <v>98</v>
      </c>
      <c r="D72" s="192" t="s">
        <v>99</v>
      </c>
      <c r="E72" s="192" t="s">
        <v>100</v>
      </c>
      <c r="F72" s="192" t="s">
        <v>101</v>
      </c>
      <c r="G72" s="192" t="s">
        <v>102</v>
      </c>
      <c r="H72" s="192" t="s">
        <v>103</v>
      </c>
    </row>
    <row r="73" spans="1:8">
      <c r="A73" s="194" t="s">
        <v>412</v>
      </c>
      <c r="B73" s="269">
        <f>B57-(SUM(B74:B76))</f>
        <v>13</v>
      </c>
      <c r="C73" s="269">
        <f t="shared" ref="C73:H73" si="7">C57-(SUM(C74:C76))</f>
        <v>22</v>
      </c>
      <c r="D73" s="269">
        <f t="shared" si="7"/>
        <v>26</v>
      </c>
      <c r="E73" s="269">
        <f t="shared" si="7"/>
        <v>26</v>
      </c>
      <c r="F73" s="269">
        <f t="shared" si="7"/>
        <v>28</v>
      </c>
      <c r="G73" s="269">
        <f t="shared" si="7"/>
        <v>29</v>
      </c>
      <c r="H73" s="269">
        <f t="shared" si="7"/>
        <v>29</v>
      </c>
    </row>
    <row r="74" spans="1:8">
      <c r="A74" s="194" t="s">
        <v>413</v>
      </c>
      <c r="B74" s="269">
        <f>ROUND($B$30*B57,0)</f>
        <v>3</v>
      </c>
      <c r="C74" s="269">
        <f t="shared" ref="C74:H74" si="8">ROUND($B$30*C57,0)</f>
        <v>4</v>
      </c>
      <c r="D74" s="269">
        <f t="shared" si="8"/>
        <v>4</v>
      </c>
      <c r="E74" s="269">
        <f t="shared" si="8"/>
        <v>5</v>
      </c>
      <c r="F74" s="269">
        <f t="shared" si="8"/>
        <v>5</v>
      </c>
      <c r="G74" s="269">
        <f t="shared" si="8"/>
        <v>5</v>
      </c>
      <c r="H74" s="269">
        <f t="shared" si="8"/>
        <v>5</v>
      </c>
    </row>
    <row r="75" spans="1:8">
      <c r="A75" s="194" t="s">
        <v>414</v>
      </c>
      <c r="B75" s="269">
        <f>ROUND($B$31*B57,0)</f>
        <v>8</v>
      </c>
      <c r="C75" s="269">
        <f t="shared" ref="C75:H75" si="9">ROUND($B$31*C57,0)</f>
        <v>12</v>
      </c>
      <c r="D75" s="269">
        <f t="shared" si="9"/>
        <v>13</v>
      </c>
      <c r="E75" s="269">
        <f t="shared" si="9"/>
        <v>14</v>
      </c>
      <c r="F75" s="269">
        <f t="shared" si="9"/>
        <v>14</v>
      </c>
      <c r="G75" s="269">
        <f t="shared" si="9"/>
        <v>15</v>
      </c>
      <c r="H75" s="269">
        <f t="shared" si="9"/>
        <v>15</v>
      </c>
    </row>
    <row r="76" spans="1:8">
      <c r="A76" s="194" t="s">
        <v>415</v>
      </c>
      <c r="B76" s="270">
        <f>ROUND($B$32*B57,0)</f>
        <v>1</v>
      </c>
      <c r="C76" s="270">
        <f t="shared" ref="C76:H76" si="10">ROUND($B$32*C57,0)</f>
        <v>1</v>
      </c>
      <c r="D76" s="270">
        <f t="shared" si="10"/>
        <v>1</v>
      </c>
      <c r="E76" s="270">
        <f t="shared" si="10"/>
        <v>1</v>
      </c>
      <c r="F76" s="270">
        <f t="shared" si="10"/>
        <v>1</v>
      </c>
      <c r="G76" s="270">
        <f t="shared" si="10"/>
        <v>1</v>
      </c>
      <c r="H76" s="270">
        <f t="shared" si="10"/>
        <v>1</v>
      </c>
    </row>
    <row r="78" spans="1:8">
      <c r="A78" s="193" t="s">
        <v>418</v>
      </c>
      <c r="B78" s="192" t="s">
        <v>22</v>
      </c>
      <c r="C78" s="192" t="s">
        <v>98</v>
      </c>
      <c r="D78" s="192" t="s">
        <v>99</v>
      </c>
      <c r="E78" s="192" t="s">
        <v>100</v>
      </c>
      <c r="F78" s="192" t="s">
        <v>101</v>
      </c>
      <c r="G78" s="192" t="s">
        <v>102</v>
      </c>
      <c r="H78" s="192" t="s">
        <v>103</v>
      </c>
    </row>
    <row r="79" spans="1:8">
      <c r="A79" s="194" t="s">
        <v>412</v>
      </c>
      <c r="B79" s="269">
        <f>B58-(SUM(B80:B82))</f>
        <v>25</v>
      </c>
      <c r="C79" s="269">
        <f t="shared" ref="C79:H79" si="11">C58-(SUM(C80:C82))</f>
        <v>45</v>
      </c>
      <c r="D79" s="269">
        <f t="shared" si="11"/>
        <v>53</v>
      </c>
      <c r="E79" s="269">
        <f t="shared" si="11"/>
        <v>54</v>
      </c>
      <c r="F79" s="269">
        <f t="shared" si="11"/>
        <v>59</v>
      </c>
      <c r="G79" s="269">
        <f t="shared" si="11"/>
        <v>60</v>
      </c>
      <c r="H79" s="269">
        <f t="shared" si="11"/>
        <v>60</v>
      </c>
    </row>
    <row r="80" spans="1:8">
      <c r="A80" s="194" t="s">
        <v>413</v>
      </c>
      <c r="B80" s="269">
        <f>ROUND($B$30*B58,0)</f>
        <v>5</v>
      </c>
      <c r="C80" s="269">
        <f t="shared" ref="C80:H80" si="12">ROUND($B$30*C58,0)</f>
        <v>8</v>
      </c>
      <c r="D80" s="269">
        <f t="shared" si="12"/>
        <v>9</v>
      </c>
      <c r="E80" s="269">
        <f t="shared" si="12"/>
        <v>10</v>
      </c>
      <c r="F80" s="269">
        <f t="shared" si="12"/>
        <v>10</v>
      </c>
      <c r="G80" s="269">
        <f t="shared" si="12"/>
        <v>11</v>
      </c>
      <c r="H80" s="269">
        <f t="shared" si="12"/>
        <v>11</v>
      </c>
    </row>
    <row r="81" spans="1:8">
      <c r="A81" s="194" t="s">
        <v>414</v>
      </c>
      <c r="B81" s="269">
        <f>ROUND($B$31*B58,0)</f>
        <v>14</v>
      </c>
      <c r="C81" s="269">
        <f t="shared" ref="C81:H81" si="13">ROUND($B$31*C58,0)</f>
        <v>23</v>
      </c>
      <c r="D81" s="269">
        <f t="shared" si="13"/>
        <v>27</v>
      </c>
      <c r="E81" s="269">
        <f t="shared" si="13"/>
        <v>29</v>
      </c>
      <c r="F81" s="269">
        <f t="shared" si="13"/>
        <v>30</v>
      </c>
      <c r="G81" s="269">
        <f t="shared" si="13"/>
        <v>32</v>
      </c>
      <c r="H81" s="269">
        <f t="shared" si="13"/>
        <v>32</v>
      </c>
    </row>
    <row r="82" spans="1:8">
      <c r="A82" s="194" t="s">
        <v>415</v>
      </c>
      <c r="B82" s="270">
        <f>ROUND($B$32*B58,0)</f>
        <v>1</v>
      </c>
      <c r="C82" s="270">
        <f t="shared" ref="C82:H82" si="14">ROUND($B$32*C58,0)</f>
        <v>2</v>
      </c>
      <c r="D82" s="270">
        <f t="shared" si="14"/>
        <v>2</v>
      </c>
      <c r="E82" s="270">
        <f t="shared" si="14"/>
        <v>2</v>
      </c>
      <c r="F82" s="270">
        <f t="shared" si="14"/>
        <v>2</v>
      </c>
      <c r="G82" s="270">
        <f t="shared" si="14"/>
        <v>2</v>
      </c>
      <c r="H82" s="270">
        <f t="shared" si="14"/>
        <v>2</v>
      </c>
    </row>
    <row r="84" spans="1:8">
      <c r="A84" s="193" t="s">
        <v>411</v>
      </c>
      <c r="B84" s="192" t="s">
        <v>22</v>
      </c>
      <c r="C84" s="192" t="s">
        <v>98</v>
      </c>
      <c r="D84" s="192" t="s">
        <v>99</v>
      </c>
      <c r="E84" s="192" t="s">
        <v>100</v>
      </c>
      <c r="F84" s="192" t="s">
        <v>101</v>
      </c>
      <c r="G84" s="192" t="s">
        <v>102</v>
      </c>
      <c r="H84" s="192" t="s">
        <v>103</v>
      </c>
    </row>
    <row r="85" spans="1:8">
      <c r="A85" s="194" t="s">
        <v>412</v>
      </c>
      <c r="B85" s="218">
        <f>($B$23*($B$37+$B$38))*B79</f>
        <v>9000</v>
      </c>
      <c r="C85" s="218">
        <f t="shared" ref="C85:H85" si="15">($B$23*($B$37+$B$38))*C79</f>
        <v>16200</v>
      </c>
      <c r="D85" s="218">
        <f t="shared" si="15"/>
        <v>19080</v>
      </c>
      <c r="E85" s="218">
        <f t="shared" si="15"/>
        <v>19440</v>
      </c>
      <c r="F85" s="218">
        <f t="shared" si="15"/>
        <v>21240</v>
      </c>
      <c r="G85" s="218">
        <f t="shared" si="15"/>
        <v>21600</v>
      </c>
      <c r="H85" s="218">
        <f t="shared" si="15"/>
        <v>21600</v>
      </c>
    </row>
    <row r="86" spans="1:8">
      <c r="A86" s="194" t="s">
        <v>413</v>
      </c>
      <c r="B86" s="218">
        <f>$B$26*(($B$23*($B$37+$B$38))*B80)</f>
        <v>900</v>
      </c>
      <c r="C86" s="218">
        <f t="shared" ref="C86:H86" si="16">$B$26*(($B$23*($B$37+$B$38))*C80)</f>
        <v>1440</v>
      </c>
      <c r="D86" s="218">
        <f t="shared" si="16"/>
        <v>1620</v>
      </c>
      <c r="E86" s="218">
        <f t="shared" si="16"/>
        <v>1800</v>
      </c>
      <c r="F86" s="218">
        <f t="shared" si="16"/>
        <v>1800</v>
      </c>
      <c r="G86" s="218">
        <f t="shared" si="16"/>
        <v>1980</v>
      </c>
      <c r="H86" s="218">
        <f t="shared" si="16"/>
        <v>1980</v>
      </c>
    </row>
    <row r="87" spans="1:8">
      <c r="A87" s="194" t="s">
        <v>414</v>
      </c>
      <c r="B87" s="218">
        <f>$B$27*(($B$23*($B$37+$B$38))*B81)</f>
        <v>3780</v>
      </c>
      <c r="C87" s="218">
        <f t="shared" ref="C87:H87" si="17">$B$27*(($B$23*($B$37+$B$38))*C81)</f>
        <v>6210</v>
      </c>
      <c r="D87" s="218">
        <f t="shared" si="17"/>
        <v>7290</v>
      </c>
      <c r="E87" s="218">
        <f t="shared" si="17"/>
        <v>7830</v>
      </c>
      <c r="F87" s="218">
        <f t="shared" si="17"/>
        <v>8100</v>
      </c>
      <c r="G87" s="218">
        <f t="shared" si="17"/>
        <v>8640</v>
      </c>
      <c r="H87" s="218">
        <f t="shared" si="17"/>
        <v>8640</v>
      </c>
    </row>
    <row r="88" spans="1:8">
      <c r="A88" s="194" t="s">
        <v>415</v>
      </c>
      <c r="B88" s="218">
        <f>$B$28*(($B$23*($B$37+$B$38))*B82)</f>
        <v>72</v>
      </c>
      <c r="C88" s="218">
        <f t="shared" ref="C88:H88" si="18">$B$28*(($B$23*($B$37+$B$38))*C82)</f>
        <v>144</v>
      </c>
      <c r="D88" s="218">
        <f t="shared" si="18"/>
        <v>144</v>
      </c>
      <c r="E88" s="218">
        <f t="shared" si="18"/>
        <v>144</v>
      </c>
      <c r="F88" s="218">
        <f t="shared" si="18"/>
        <v>144</v>
      </c>
      <c r="G88" s="218">
        <f t="shared" si="18"/>
        <v>144</v>
      </c>
      <c r="H88" s="218">
        <f t="shared" si="18"/>
        <v>144</v>
      </c>
    </row>
    <row r="90" spans="1:8">
      <c r="A90" s="193" t="s">
        <v>416</v>
      </c>
      <c r="B90" s="192" t="s">
        <v>22</v>
      </c>
      <c r="C90" s="192" t="s">
        <v>98</v>
      </c>
      <c r="D90" s="192" t="s">
        <v>99</v>
      </c>
      <c r="E90" s="192" t="s">
        <v>100</v>
      </c>
      <c r="F90" s="192" t="s">
        <v>101</v>
      </c>
      <c r="G90" s="192" t="s">
        <v>102</v>
      </c>
      <c r="H90" s="192" t="s">
        <v>103</v>
      </c>
    </row>
    <row r="91" spans="1:8">
      <c r="A91" s="194" t="s">
        <v>412</v>
      </c>
      <c r="B91" s="218">
        <f>($B$24*($B$37+$B$38))*B79</f>
        <v>45000</v>
      </c>
      <c r="C91" s="218">
        <f t="shared" ref="C91:H91" si="19">($B$24*($B$37+$B$38))*C79</f>
        <v>81000</v>
      </c>
      <c r="D91" s="218">
        <f t="shared" si="19"/>
        <v>95400</v>
      </c>
      <c r="E91" s="218">
        <f t="shared" si="19"/>
        <v>97200</v>
      </c>
      <c r="F91" s="218">
        <f t="shared" si="19"/>
        <v>106200</v>
      </c>
      <c r="G91" s="218">
        <f t="shared" si="19"/>
        <v>108000</v>
      </c>
      <c r="H91" s="218">
        <f t="shared" si="19"/>
        <v>108000</v>
      </c>
    </row>
    <row r="92" spans="1:8">
      <c r="A92" s="194" t="s">
        <v>413</v>
      </c>
      <c r="B92" s="218">
        <f>$B$30*(($B$24*($B$37+$B$38))*B80)</f>
        <v>900</v>
      </c>
      <c r="C92" s="218">
        <f t="shared" ref="C92:H92" si="20">$B$30*(($B$24*($B$37+$B$38))*C80)</f>
        <v>1440</v>
      </c>
      <c r="D92" s="218">
        <f t="shared" si="20"/>
        <v>1620</v>
      </c>
      <c r="E92" s="218">
        <f t="shared" si="20"/>
        <v>1800</v>
      </c>
      <c r="F92" s="218">
        <f t="shared" si="20"/>
        <v>1800</v>
      </c>
      <c r="G92" s="218">
        <f t="shared" si="20"/>
        <v>1980</v>
      </c>
      <c r="H92" s="218">
        <f t="shared" si="20"/>
        <v>1980</v>
      </c>
    </row>
    <row r="93" spans="1:8">
      <c r="A93" s="194" t="s">
        <v>414</v>
      </c>
      <c r="B93" s="218">
        <f>$B$31*(($B$24*($B$37+$B$38))*B81)</f>
        <v>7560</v>
      </c>
      <c r="C93" s="218">
        <f t="shared" ref="C93:H93" si="21">$B$31*(($B$24*($B$37+$B$38))*C81)</f>
        <v>12420</v>
      </c>
      <c r="D93" s="218">
        <f t="shared" si="21"/>
        <v>14580</v>
      </c>
      <c r="E93" s="218">
        <f t="shared" si="21"/>
        <v>15660</v>
      </c>
      <c r="F93" s="218">
        <f t="shared" si="21"/>
        <v>16200</v>
      </c>
      <c r="G93" s="218">
        <f t="shared" si="21"/>
        <v>17280</v>
      </c>
      <c r="H93" s="218">
        <f t="shared" si="21"/>
        <v>17280</v>
      </c>
    </row>
    <row r="94" spans="1:8">
      <c r="A94" s="194" t="s">
        <v>415</v>
      </c>
      <c r="B94" s="218">
        <f>$B$32*(($B$24*($B$37+$B$38))*B82)</f>
        <v>36</v>
      </c>
      <c r="C94" s="218">
        <f t="shared" ref="C94:H94" si="22">$B$32*(($B$24*($B$37+$B$38))*C82)</f>
        <v>72</v>
      </c>
      <c r="D94" s="218">
        <f t="shared" si="22"/>
        <v>72</v>
      </c>
      <c r="E94" s="218">
        <f t="shared" si="22"/>
        <v>72</v>
      </c>
      <c r="F94" s="218">
        <f t="shared" si="22"/>
        <v>72</v>
      </c>
      <c r="G94" s="218">
        <f t="shared" si="22"/>
        <v>72</v>
      </c>
      <c r="H94" s="218">
        <f t="shared" si="22"/>
        <v>72</v>
      </c>
    </row>
    <row r="96" spans="1:8">
      <c r="A96" s="193" t="s">
        <v>419</v>
      </c>
      <c r="B96" s="219">
        <f>SUM(B91:B94,B85:B88)</f>
        <v>67248</v>
      </c>
      <c r="C96" s="219">
        <f t="shared" ref="C96:H96" si="23">SUM(C91:C94,C85:C88)</f>
        <v>118926</v>
      </c>
      <c r="D96" s="219">
        <f t="shared" si="23"/>
        <v>139806</v>
      </c>
      <c r="E96" s="219">
        <f t="shared" si="23"/>
        <v>143946</v>
      </c>
      <c r="F96" s="219">
        <f t="shared" si="23"/>
        <v>155556</v>
      </c>
      <c r="G96" s="219">
        <f t="shared" si="23"/>
        <v>159696</v>
      </c>
      <c r="H96" s="219">
        <f t="shared" si="23"/>
        <v>159696</v>
      </c>
    </row>
    <row r="98" spans="1:8">
      <c r="A98" s="193" t="s">
        <v>426</v>
      </c>
      <c r="B98" s="192" t="s">
        <v>22</v>
      </c>
      <c r="C98" s="192" t="s">
        <v>98</v>
      </c>
      <c r="D98" s="192" t="s">
        <v>99</v>
      </c>
      <c r="E98" s="192" t="s">
        <v>100</v>
      </c>
      <c r="F98" s="192" t="s">
        <v>101</v>
      </c>
      <c r="G98" s="192" t="s">
        <v>102</v>
      </c>
      <c r="H98" s="192" t="s">
        <v>103</v>
      </c>
    </row>
    <row r="99" spans="1:8">
      <c r="A99" s="194" t="s">
        <v>427</v>
      </c>
      <c r="B99" s="218">
        <f>SUM(B66:B70)</f>
        <v>32361.617792000001</v>
      </c>
      <c r="C99" s="218">
        <f t="shared" ref="C99:H99" si="24">SUM(C66:C70)</f>
        <v>40049.113792000004</v>
      </c>
      <c r="D99" s="218">
        <f t="shared" si="24"/>
        <v>47466.609791999996</v>
      </c>
      <c r="E99" s="218">
        <f t="shared" si="24"/>
        <v>51661.689791999997</v>
      </c>
      <c r="F99" s="218">
        <f t="shared" si="24"/>
        <v>51445.689791999997</v>
      </c>
      <c r="G99" s="218">
        <f t="shared" si="24"/>
        <v>51229.689791999997</v>
      </c>
      <c r="H99" s="218">
        <f t="shared" si="24"/>
        <v>51013.689791999997</v>
      </c>
    </row>
    <row r="100" spans="1:8">
      <c r="A100" s="194" t="s">
        <v>92</v>
      </c>
      <c r="B100" s="218">
        <f>$B$34+((((0.5*B57)+B58)*$B$35)*$B$36)</f>
        <v>8584.5</v>
      </c>
      <c r="C100" s="218">
        <f t="shared" ref="C100:H100" si="25">$B$34+((((0.5*C57)+C58)*$B$35)*$B$36)</f>
        <v>14208.5</v>
      </c>
      <c r="D100" s="218">
        <f t="shared" si="25"/>
        <v>16387.8</v>
      </c>
      <c r="E100" s="218">
        <f t="shared" si="25"/>
        <v>17090.8</v>
      </c>
      <c r="F100" s="218">
        <f t="shared" si="25"/>
        <v>18075</v>
      </c>
      <c r="G100" s="218">
        <f t="shared" si="25"/>
        <v>18778</v>
      </c>
      <c r="H100" s="218">
        <f t="shared" si="25"/>
        <v>18778</v>
      </c>
    </row>
  </sheetData>
  <sheetProtection password="DF03" sheet="1" objects="1" scenarios="1"/>
  <pageMargins left="0.5" right="0.5" top="0.5" bottom="0.5" header="0.3" footer="0.3"/>
  <pageSetup orientation="landscape" r:id="rId1"/>
  <headerFooter>
    <oddFooter>&amp;LBefore / After Care Projections&amp;CPinellas Preparatory Academy, Inc.&amp;RPage &amp;P or &amp;N</oddFooter>
  </headerFooter>
  <rowBreaks count="1" manualBreakCount="1"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5"/>
  <sheetViews>
    <sheetView showGridLines="0" view="pageLayout" zoomScaleNormal="100" workbookViewId="0"/>
  </sheetViews>
  <sheetFormatPr defaultRowHeight="15"/>
  <cols>
    <col min="1" max="1" width="2.140625" customWidth="1"/>
    <col min="2" max="2" width="7.140625" customWidth="1"/>
    <col min="3" max="3" width="5.28515625" customWidth="1"/>
    <col min="4" max="4" width="29.42578125" customWidth="1"/>
    <col min="5" max="5" width="8" style="335" bestFit="1" customWidth="1"/>
    <col min="6" max="6" width="1.42578125" style="335" customWidth="1"/>
    <col min="7" max="7" width="8.7109375" style="347" customWidth="1"/>
    <col min="8" max="8" width="10.140625" style="335" customWidth="1"/>
    <col min="9" max="9" width="1.42578125" style="335" customWidth="1"/>
    <col min="10" max="10" width="8.7109375" style="347" customWidth="1"/>
    <col min="11" max="11" width="10.140625" style="335" customWidth="1"/>
    <col min="12" max="12" width="1.42578125" style="335" customWidth="1"/>
    <col min="13" max="13" width="8.7109375" style="347" customWidth="1"/>
    <col min="14" max="14" width="10.140625" style="335" customWidth="1"/>
    <col min="15" max="15" width="13.5703125" style="335" customWidth="1"/>
    <col min="16" max="20" width="9.140625" style="335"/>
  </cols>
  <sheetData>
    <row r="1" spans="1:14" ht="27">
      <c r="A1" s="295" t="s">
        <v>619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30" customHeight="1">
      <c r="F2" s="354"/>
      <c r="G2" s="412" t="s">
        <v>563</v>
      </c>
      <c r="H2" s="412"/>
      <c r="I2" s="355"/>
      <c r="J2" s="412" t="s">
        <v>564</v>
      </c>
      <c r="K2" s="412"/>
      <c r="L2" s="412"/>
      <c r="M2" s="412"/>
      <c r="N2" s="412"/>
    </row>
    <row r="3" spans="1:14" ht="45.75" thickBot="1">
      <c r="B3" t="s">
        <v>562</v>
      </c>
      <c r="D3" t="s">
        <v>51</v>
      </c>
      <c r="E3" s="391" t="s">
        <v>600</v>
      </c>
      <c r="F3" s="355"/>
      <c r="G3" s="375" t="s">
        <v>565</v>
      </c>
      <c r="H3" s="376" t="s">
        <v>566</v>
      </c>
      <c r="I3" s="355"/>
      <c r="J3" s="375" t="s">
        <v>567</v>
      </c>
      <c r="K3" s="376" t="s">
        <v>568</v>
      </c>
      <c r="L3" s="356"/>
      <c r="M3" s="375" t="s">
        <v>570</v>
      </c>
      <c r="N3" s="376" t="s">
        <v>569</v>
      </c>
    </row>
    <row r="4" spans="1:14">
      <c r="C4" s="384" t="s">
        <v>571</v>
      </c>
      <c r="D4" s="385"/>
      <c r="E4" s="392"/>
      <c r="F4" s="354"/>
      <c r="G4" s="381"/>
      <c r="H4" s="377">
        <v>250000</v>
      </c>
      <c r="I4" s="354"/>
      <c r="J4" s="381"/>
      <c r="K4" s="377">
        <v>0</v>
      </c>
      <c r="M4" s="383"/>
      <c r="N4" s="377">
        <v>0</v>
      </c>
    </row>
    <row r="5" spans="1:14">
      <c r="C5" s="389" t="s">
        <v>618</v>
      </c>
      <c r="D5" s="390"/>
      <c r="E5" s="393"/>
      <c r="F5" s="354"/>
      <c r="G5" s="386"/>
      <c r="H5" s="387">
        <v>0</v>
      </c>
      <c r="I5" s="354"/>
      <c r="J5" s="386"/>
      <c r="K5" s="387">
        <v>0</v>
      </c>
      <c r="M5" s="388"/>
      <c r="N5" s="387">
        <f>M65</f>
        <v>98577.965004378741</v>
      </c>
    </row>
    <row r="6" spans="1:14" ht="15.75" thickBot="1">
      <c r="C6" s="378" t="s">
        <v>601</v>
      </c>
      <c r="D6" s="379"/>
      <c r="E6" s="394"/>
      <c r="F6" s="354"/>
      <c r="G6" s="382"/>
      <c r="H6" s="380">
        <f>IF(G65&gt;H4,G65-H4,0)</f>
        <v>0</v>
      </c>
      <c r="I6" s="354"/>
      <c r="J6" s="382"/>
      <c r="K6" s="380">
        <f>IF(J65&gt;K4,J65-K4,0)</f>
        <v>100991.42</v>
      </c>
      <c r="M6" s="382"/>
      <c r="N6" s="380">
        <v>0</v>
      </c>
    </row>
    <row r="7" spans="1:14">
      <c r="F7" s="354"/>
      <c r="G7" s="348"/>
      <c r="H7" s="346"/>
      <c r="I7" s="354"/>
      <c r="J7" s="348"/>
      <c r="K7" s="346"/>
      <c r="M7" s="348"/>
      <c r="N7" s="346"/>
    </row>
    <row r="8" spans="1:14" ht="16.5" thickBot="1">
      <c r="B8" s="367" t="s">
        <v>608</v>
      </c>
      <c r="C8" s="367"/>
      <c r="D8" s="367"/>
      <c r="E8" s="368"/>
      <c r="F8" s="369"/>
      <c r="G8" s="370"/>
      <c r="H8" s="368">
        <f>SUM(H9:H15)</f>
        <v>29750</v>
      </c>
      <c r="I8" s="369"/>
      <c r="J8" s="370"/>
      <c r="K8" s="368">
        <f>SUM(K9:K15)</f>
        <v>8875</v>
      </c>
      <c r="L8" s="368"/>
      <c r="M8" s="368"/>
      <c r="N8" s="368">
        <f>SUM(N9:N15)</f>
        <v>6500</v>
      </c>
    </row>
    <row r="9" spans="1:14">
      <c r="D9" s="364" t="s">
        <v>572</v>
      </c>
      <c r="E9" s="365">
        <v>250</v>
      </c>
      <c r="F9" s="354"/>
      <c r="G9" s="366">
        <v>22</v>
      </c>
      <c r="H9" s="365">
        <f>$E9*G9</f>
        <v>5500</v>
      </c>
      <c r="I9" s="354"/>
      <c r="J9" s="366">
        <v>11</v>
      </c>
      <c r="K9" s="365">
        <f>$E9*J9</f>
        <v>2750</v>
      </c>
      <c r="M9" s="366">
        <v>11</v>
      </c>
      <c r="N9" s="365">
        <f>$E9*M9</f>
        <v>2750</v>
      </c>
    </row>
    <row r="10" spans="1:14">
      <c r="D10" s="327" t="s">
        <v>573</v>
      </c>
      <c r="E10" s="337">
        <v>250</v>
      </c>
      <c r="F10" s="354"/>
      <c r="G10" s="350">
        <f>4*3</f>
        <v>12</v>
      </c>
      <c r="H10" s="337">
        <f>$E10*G10</f>
        <v>3000</v>
      </c>
      <c r="I10" s="354"/>
      <c r="J10" s="350">
        <f>4*3</f>
        <v>12</v>
      </c>
      <c r="K10" s="337">
        <f>$E10*J10</f>
        <v>3000</v>
      </c>
      <c r="M10" s="350"/>
      <c r="N10" s="337">
        <f t="shared" ref="N10:N15" si="0">$E10*M10</f>
        <v>0</v>
      </c>
    </row>
    <row r="11" spans="1:14">
      <c r="D11" s="327" t="s">
        <v>574</v>
      </c>
      <c r="E11" s="337">
        <v>750</v>
      </c>
      <c r="F11" s="354"/>
      <c r="G11" s="350">
        <v>1</v>
      </c>
      <c r="H11" s="337">
        <f t="shared" ref="H11:H15" si="1">$E11*G11</f>
        <v>750</v>
      </c>
      <c r="I11" s="354"/>
      <c r="J11" s="350">
        <v>0.5</v>
      </c>
      <c r="K11" s="337">
        <f t="shared" ref="K11:K15" si="2">$E11*J11</f>
        <v>375</v>
      </c>
      <c r="M11" s="350"/>
      <c r="N11" s="337">
        <f t="shared" si="0"/>
        <v>0</v>
      </c>
    </row>
    <row r="12" spans="1:14">
      <c r="D12" s="349" t="s">
        <v>575</v>
      </c>
      <c r="E12" s="337">
        <v>750</v>
      </c>
      <c r="F12" s="354"/>
      <c r="G12" s="350">
        <v>1</v>
      </c>
      <c r="H12" s="337">
        <f t="shared" si="1"/>
        <v>750</v>
      </c>
      <c r="I12" s="354"/>
      <c r="J12" s="350">
        <v>0.5</v>
      </c>
      <c r="K12" s="337">
        <f t="shared" si="2"/>
        <v>375</v>
      </c>
      <c r="M12" s="350"/>
      <c r="N12" s="337">
        <f t="shared" si="0"/>
        <v>0</v>
      </c>
    </row>
    <row r="13" spans="1:14">
      <c r="D13" s="349" t="s">
        <v>576</v>
      </c>
      <c r="E13" s="337">
        <v>15</v>
      </c>
      <c r="F13" s="354"/>
      <c r="G13" s="350">
        <v>1000</v>
      </c>
      <c r="H13" s="337">
        <f t="shared" si="1"/>
        <v>15000</v>
      </c>
      <c r="I13" s="354"/>
      <c r="J13" s="350"/>
      <c r="K13" s="337">
        <f t="shared" si="2"/>
        <v>0</v>
      </c>
      <c r="M13" s="350">
        <v>250</v>
      </c>
      <c r="N13" s="337">
        <f t="shared" si="0"/>
        <v>3750</v>
      </c>
    </row>
    <row r="14" spans="1:14">
      <c r="D14" s="349" t="s">
        <v>577</v>
      </c>
      <c r="E14" s="337">
        <v>750</v>
      </c>
      <c r="F14" s="354"/>
      <c r="G14" s="350">
        <v>1</v>
      </c>
      <c r="H14" s="337">
        <f t="shared" si="1"/>
        <v>750</v>
      </c>
      <c r="I14" s="354"/>
      <c r="J14" s="350">
        <v>0.5</v>
      </c>
      <c r="K14" s="337">
        <f t="shared" si="2"/>
        <v>375</v>
      </c>
      <c r="M14" s="350"/>
      <c r="N14" s="337">
        <f t="shared" si="0"/>
        <v>0</v>
      </c>
    </row>
    <row r="15" spans="1:14">
      <c r="D15" s="349" t="s">
        <v>578</v>
      </c>
      <c r="E15" s="337">
        <v>4000</v>
      </c>
      <c r="F15" s="354"/>
      <c r="G15" s="350">
        <v>1</v>
      </c>
      <c r="H15" s="337">
        <f t="shared" si="1"/>
        <v>4000</v>
      </c>
      <c r="I15" s="354"/>
      <c r="J15" s="350">
        <v>0.5</v>
      </c>
      <c r="K15" s="337">
        <f t="shared" si="2"/>
        <v>2000</v>
      </c>
      <c r="M15" s="350"/>
      <c r="N15" s="337">
        <f t="shared" si="0"/>
        <v>0</v>
      </c>
    </row>
    <row r="16" spans="1:14">
      <c r="D16" s="345"/>
      <c r="F16" s="354"/>
      <c r="I16" s="354"/>
    </row>
    <row r="17" spans="2:14" ht="16.5" thickBot="1">
      <c r="B17" s="367" t="s">
        <v>609</v>
      </c>
      <c r="C17" s="367"/>
      <c r="D17" s="367"/>
      <c r="E17" s="368"/>
      <c r="F17" s="369"/>
      <c r="G17" s="370"/>
      <c r="H17" s="368">
        <f>SUM(H18:H23)</f>
        <v>83900</v>
      </c>
      <c r="I17" s="369"/>
      <c r="J17" s="370"/>
      <c r="K17" s="368">
        <f>SUM(K18:K23)</f>
        <v>7500</v>
      </c>
      <c r="L17" s="368"/>
      <c r="M17" s="368"/>
      <c r="N17" s="368">
        <f>SUM(N18:N23)</f>
        <v>19950</v>
      </c>
    </row>
    <row r="18" spans="2:14">
      <c r="D18" s="349" t="s">
        <v>579</v>
      </c>
      <c r="E18" s="337">
        <v>800</v>
      </c>
      <c r="F18" s="354"/>
      <c r="G18" s="350">
        <v>22</v>
      </c>
      <c r="H18" s="337">
        <f t="shared" ref="H18:H21" si="3">$E18*G18</f>
        <v>17600</v>
      </c>
      <c r="I18" s="354"/>
      <c r="J18" s="350">
        <v>0</v>
      </c>
      <c r="K18" s="337">
        <f t="shared" ref="K18:K21" si="4">$E18*J18</f>
        <v>0</v>
      </c>
      <c r="M18" s="350">
        <v>14</v>
      </c>
      <c r="N18" s="337">
        <f t="shared" ref="N18:N21" si="5">$E18*M18</f>
        <v>11200</v>
      </c>
    </row>
    <row r="19" spans="2:14">
      <c r="D19" s="327" t="s">
        <v>561</v>
      </c>
      <c r="E19" s="337">
        <v>350</v>
      </c>
      <c r="F19" s="354"/>
      <c r="G19" s="350">
        <f>14*5</f>
        <v>70</v>
      </c>
      <c r="H19" s="337">
        <f t="shared" si="3"/>
        <v>24500</v>
      </c>
      <c r="I19" s="354"/>
      <c r="J19" s="350">
        <v>0</v>
      </c>
      <c r="K19" s="337">
        <f t="shared" si="4"/>
        <v>0</v>
      </c>
      <c r="M19" s="350">
        <v>25</v>
      </c>
      <c r="N19" s="337">
        <f t="shared" si="5"/>
        <v>8750</v>
      </c>
    </row>
    <row r="20" spans="2:14">
      <c r="D20" s="349" t="s">
        <v>580</v>
      </c>
      <c r="E20" s="337">
        <v>100</v>
      </c>
      <c r="F20" s="354"/>
      <c r="G20" s="350">
        <v>22</v>
      </c>
      <c r="H20" s="337">
        <f t="shared" si="3"/>
        <v>2200</v>
      </c>
      <c r="I20" s="354"/>
      <c r="J20" s="350">
        <v>0</v>
      </c>
      <c r="K20" s="337">
        <f t="shared" si="4"/>
        <v>0</v>
      </c>
      <c r="M20" s="350"/>
      <c r="N20" s="337">
        <f t="shared" si="5"/>
        <v>0</v>
      </c>
    </row>
    <row r="21" spans="2:14">
      <c r="D21" s="349" t="s">
        <v>584</v>
      </c>
      <c r="E21" s="337">
        <v>750</v>
      </c>
      <c r="F21" s="354"/>
      <c r="G21" s="350">
        <v>22</v>
      </c>
      <c r="H21" s="337">
        <f t="shared" si="3"/>
        <v>16500</v>
      </c>
      <c r="I21" s="354"/>
      <c r="J21" s="350">
        <v>0</v>
      </c>
      <c r="K21" s="337">
        <f t="shared" si="4"/>
        <v>0</v>
      </c>
      <c r="M21" s="350"/>
      <c r="N21" s="337">
        <f t="shared" si="5"/>
        <v>0</v>
      </c>
    </row>
    <row r="22" spans="2:14">
      <c r="D22" s="352" t="s">
        <v>594</v>
      </c>
      <c r="E22" s="337">
        <v>800</v>
      </c>
      <c r="F22" s="354"/>
      <c r="G22" s="350">
        <v>22</v>
      </c>
      <c r="H22" s="337">
        <f>$E22*G22</f>
        <v>17600</v>
      </c>
      <c r="I22" s="354"/>
      <c r="J22" s="350">
        <v>5</v>
      </c>
      <c r="K22" s="337">
        <f>$E22*J22</f>
        <v>4000</v>
      </c>
      <c r="M22" s="350"/>
      <c r="N22" s="337">
        <f>$E22*M22</f>
        <v>0</v>
      </c>
    </row>
    <row r="23" spans="2:14">
      <c r="D23" s="352" t="s">
        <v>595</v>
      </c>
      <c r="E23" s="337">
        <v>250</v>
      </c>
      <c r="F23" s="354"/>
      <c r="G23" s="350">
        <v>22</v>
      </c>
      <c r="H23" s="337">
        <f>$E23*G23</f>
        <v>5500</v>
      </c>
      <c r="I23" s="354"/>
      <c r="J23" s="350">
        <v>14</v>
      </c>
      <c r="K23" s="337">
        <f>$E23*J23</f>
        <v>3500</v>
      </c>
      <c r="M23" s="350"/>
      <c r="N23" s="337">
        <f>$E23*M23</f>
        <v>0</v>
      </c>
    </row>
    <row r="24" spans="2:14">
      <c r="D24" s="345"/>
      <c r="F24" s="354"/>
      <c r="I24" s="354"/>
    </row>
    <row r="25" spans="2:14" ht="16.5" thickBot="1">
      <c r="B25" s="367" t="s">
        <v>610</v>
      </c>
      <c r="C25" s="367"/>
      <c r="D25" s="367"/>
      <c r="E25" s="368"/>
      <c r="F25" s="369"/>
      <c r="G25" s="370"/>
      <c r="H25" s="368">
        <f>SUM(H26:H31)</f>
        <v>55275</v>
      </c>
      <c r="I25" s="369"/>
      <c r="J25" s="370"/>
      <c r="K25" s="368">
        <f>SUM(K26:K31)</f>
        <v>34200</v>
      </c>
      <c r="L25" s="368"/>
      <c r="M25" s="368"/>
      <c r="N25" s="368">
        <f>SUM(N26:N31)</f>
        <v>29025</v>
      </c>
    </row>
    <row r="26" spans="2:14">
      <c r="D26" s="351" t="s">
        <v>581</v>
      </c>
      <c r="E26" s="337">
        <v>86</v>
      </c>
      <c r="F26" s="354"/>
      <c r="G26" s="350">
        <f>12*25</f>
        <v>300</v>
      </c>
      <c r="H26" s="337">
        <f t="shared" ref="H26:H31" si="6">$E26*G26</f>
        <v>25800</v>
      </c>
      <c r="I26" s="354"/>
      <c r="J26" s="350">
        <v>225</v>
      </c>
      <c r="K26" s="337">
        <f t="shared" ref="K26:K31" si="7">$E26*J26</f>
        <v>19350</v>
      </c>
      <c r="M26" s="350"/>
      <c r="N26" s="337">
        <f t="shared" ref="N26:N31" si="8">$E26*M26</f>
        <v>0</v>
      </c>
    </row>
    <row r="27" spans="2:14">
      <c r="D27" s="352" t="s">
        <v>301</v>
      </c>
      <c r="E27" s="337">
        <v>34</v>
      </c>
      <c r="F27" s="354"/>
      <c r="G27" s="350">
        <v>75</v>
      </c>
      <c r="H27" s="337">
        <f t="shared" si="6"/>
        <v>2550</v>
      </c>
      <c r="I27" s="354"/>
      <c r="J27" s="350"/>
      <c r="K27" s="337">
        <f t="shared" si="7"/>
        <v>0</v>
      </c>
      <c r="M27" s="350">
        <v>225</v>
      </c>
      <c r="N27" s="337">
        <f t="shared" si="8"/>
        <v>7650</v>
      </c>
    </row>
    <row r="28" spans="2:14">
      <c r="D28" s="352" t="s">
        <v>302</v>
      </c>
      <c r="E28" s="337">
        <v>43</v>
      </c>
      <c r="F28" s="354"/>
      <c r="G28" s="350">
        <v>75</v>
      </c>
      <c r="H28" s="337">
        <f t="shared" si="6"/>
        <v>3225</v>
      </c>
      <c r="I28" s="354"/>
      <c r="J28" s="350"/>
      <c r="K28" s="337">
        <f t="shared" si="7"/>
        <v>0</v>
      </c>
      <c r="M28" s="350">
        <v>225</v>
      </c>
      <c r="N28" s="337">
        <f t="shared" si="8"/>
        <v>9675</v>
      </c>
    </row>
    <row r="29" spans="2:14">
      <c r="D29" s="352" t="s">
        <v>582</v>
      </c>
      <c r="E29" s="337">
        <v>42</v>
      </c>
      <c r="F29" s="354"/>
      <c r="G29" s="350">
        <v>75</v>
      </c>
      <c r="H29" s="337">
        <f t="shared" si="6"/>
        <v>3150</v>
      </c>
      <c r="I29" s="354"/>
      <c r="J29" s="350"/>
      <c r="K29" s="337">
        <f t="shared" si="7"/>
        <v>0</v>
      </c>
      <c r="M29" s="350">
        <v>225</v>
      </c>
      <c r="N29" s="337">
        <f t="shared" si="8"/>
        <v>9450</v>
      </c>
    </row>
    <row r="30" spans="2:14">
      <c r="D30" s="352" t="s">
        <v>31</v>
      </c>
      <c r="E30" s="337">
        <v>66</v>
      </c>
      <c r="F30" s="354"/>
      <c r="G30" s="350">
        <f t="shared" ref="G30" si="9">12*25</f>
        <v>300</v>
      </c>
      <c r="H30" s="337">
        <f t="shared" si="6"/>
        <v>19800</v>
      </c>
      <c r="I30" s="354"/>
      <c r="J30" s="350">
        <v>225</v>
      </c>
      <c r="K30" s="337">
        <f t="shared" si="7"/>
        <v>14850</v>
      </c>
      <c r="M30" s="350"/>
      <c r="N30" s="337">
        <f t="shared" si="8"/>
        <v>0</v>
      </c>
    </row>
    <row r="31" spans="2:14">
      <c r="D31" s="352" t="s">
        <v>583</v>
      </c>
      <c r="E31" s="337">
        <v>10</v>
      </c>
      <c r="F31" s="354"/>
      <c r="G31" s="350">
        <v>75</v>
      </c>
      <c r="H31" s="337">
        <f t="shared" si="6"/>
        <v>750</v>
      </c>
      <c r="I31" s="354"/>
      <c r="J31" s="350"/>
      <c r="K31" s="337">
        <f t="shared" si="7"/>
        <v>0</v>
      </c>
      <c r="M31" s="350">
        <v>225</v>
      </c>
      <c r="N31" s="337">
        <f t="shared" si="8"/>
        <v>2250</v>
      </c>
    </row>
    <row r="32" spans="2:14">
      <c r="D32" s="345"/>
      <c r="F32" s="354"/>
      <c r="I32" s="354"/>
    </row>
    <row r="33" spans="2:14" ht="16.5" thickBot="1">
      <c r="B33" s="367" t="s">
        <v>611</v>
      </c>
      <c r="C33" s="367"/>
      <c r="D33" s="367"/>
      <c r="E33" s="368"/>
      <c r="F33" s="369"/>
      <c r="G33" s="370"/>
      <c r="H33" s="368">
        <f>SUM(H34:H46)</f>
        <v>56221.22</v>
      </c>
      <c r="I33" s="369"/>
      <c r="J33" s="370"/>
      <c r="K33" s="368">
        <f>SUM(K34:K46)</f>
        <v>46866.42</v>
      </c>
      <c r="L33" s="368"/>
      <c r="M33" s="368"/>
      <c r="N33" s="368">
        <f>SUM(N34:N46)</f>
        <v>9689.2800000000007</v>
      </c>
    </row>
    <row r="34" spans="2:14">
      <c r="D34" s="352" t="s">
        <v>585</v>
      </c>
      <c r="E34" s="337">
        <v>16.079999999999998</v>
      </c>
      <c r="F34" s="354"/>
      <c r="G34" s="350">
        <f>22*25</f>
        <v>550</v>
      </c>
      <c r="H34" s="337">
        <f t="shared" ref="H34:H44" si="10">$E34*G34</f>
        <v>8843.9999999999982</v>
      </c>
      <c r="I34" s="354"/>
      <c r="J34" s="350">
        <f>14*25</f>
        <v>350</v>
      </c>
      <c r="K34" s="337">
        <f t="shared" ref="K34:K44" si="11">$E34*J34</f>
        <v>5627.9999999999991</v>
      </c>
      <c r="M34" s="350"/>
      <c r="N34" s="337">
        <f t="shared" ref="N34:N44" si="12">$E34*M34</f>
        <v>0</v>
      </c>
    </row>
    <row r="35" spans="2:14">
      <c r="D35" s="352" t="s">
        <v>586</v>
      </c>
      <c r="E35" s="337">
        <v>33.15</v>
      </c>
      <c r="F35" s="354"/>
      <c r="G35" s="350">
        <v>550</v>
      </c>
      <c r="H35" s="337">
        <f t="shared" si="10"/>
        <v>18232.5</v>
      </c>
      <c r="I35" s="354"/>
      <c r="J35" s="350">
        <v>350</v>
      </c>
      <c r="K35" s="337">
        <f t="shared" si="11"/>
        <v>11602.5</v>
      </c>
      <c r="M35" s="350"/>
      <c r="N35" s="337">
        <f t="shared" si="12"/>
        <v>0</v>
      </c>
    </row>
    <row r="36" spans="2:14">
      <c r="D36" s="352" t="s">
        <v>587</v>
      </c>
      <c r="E36" s="337">
        <v>200</v>
      </c>
      <c r="F36" s="354"/>
      <c r="G36" s="350">
        <v>22</v>
      </c>
      <c r="H36" s="337">
        <f t="shared" si="10"/>
        <v>4400</v>
      </c>
      <c r="I36" s="354"/>
      <c r="J36" s="350">
        <v>14</v>
      </c>
      <c r="K36" s="337">
        <f t="shared" si="11"/>
        <v>2800</v>
      </c>
      <c r="M36" s="350"/>
      <c r="N36" s="337">
        <f t="shared" si="12"/>
        <v>0</v>
      </c>
    </row>
    <row r="37" spans="2:14">
      <c r="D37" s="352" t="s">
        <v>588</v>
      </c>
      <c r="E37" s="337">
        <v>75</v>
      </c>
      <c r="F37" s="354"/>
      <c r="G37" s="350">
        <v>22</v>
      </c>
      <c r="H37" s="337">
        <f t="shared" si="10"/>
        <v>1650</v>
      </c>
      <c r="I37" s="354"/>
      <c r="J37" s="350">
        <v>14</v>
      </c>
      <c r="K37" s="337">
        <f t="shared" si="11"/>
        <v>1050</v>
      </c>
      <c r="M37" s="350"/>
      <c r="N37" s="337">
        <f t="shared" si="12"/>
        <v>0</v>
      </c>
    </row>
    <row r="38" spans="2:14">
      <c r="D38" s="352" t="s">
        <v>604</v>
      </c>
      <c r="E38" s="337">
        <v>112.38</v>
      </c>
      <c r="F38" s="354"/>
      <c r="G38" s="350">
        <v>44</v>
      </c>
      <c r="H38" s="337">
        <f t="shared" si="10"/>
        <v>4944.7199999999993</v>
      </c>
      <c r="I38" s="354"/>
      <c r="J38" s="350">
        <v>28</v>
      </c>
      <c r="K38" s="337">
        <f t="shared" si="11"/>
        <v>3146.64</v>
      </c>
      <c r="M38" s="350"/>
      <c r="N38" s="337">
        <f t="shared" si="12"/>
        <v>0</v>
      </c>
    </row>
    <row r="39" spans="2:14">
      <c r="D39" s="352" t="s">
        <v>589</v>
      </c>
      <c r="E39" s="337">
        <v>45</v>
      </c>
      <c r="F39" s="354"/>
      <c r="G39" s="350">
        <f>22*4</f>
        <v>88</v>
      </c>
      <c r="H39" s="337">
        <f t="shared" si="10"/>
        <v>3960</v>
      </c>
      <c r="I39" s="354"/>
      <c r="J39" s="350">
        <f>14*4</f>
        <v>56</v>
      </c>
      <c r="K39" s="337">
        <f t="shared" si="11"/>
        <v>2520</v>
      </c>
      <c r="M39" s="350"/>
      <c r="N39" s="337">
        <f t="shared" si="12"/>
        <v>0</v>
      </c>
    </row>
    <row r="40" spans="2:14">
      <c r="D40" s="352" t="s">
        <v>590</v>
      </c>
      <c r="E40" s="337">
        <v>100</v>
      </c>
      <c r="F40" s="354"/>
      <c r="G40" s="350">
        <v>44</v>
      </c>
      <c r="H40" s="337">
        <f t="shared" si="10"/>
        <v>4400</v>
      </c>
      <c r="I40" s="354"/>
      <c r="J40" s="350">
        <v>28</v>
      </c>
      <c r="K40" s="337">
        <f t="shared" si="11"/>
        <v>2800</v>
      </c>
      <c r="M40" s="350"/>
      <c r="N40" s="337">
        <f t="shared" si="12"/>
        <v>0</v>
      </c>
    </row>
    <row r="41" spans="2:14">
      <c r="D41" s="352" t="s">
        <v>591</v>
      </c>
      <c r="E41" s="337">
        <v>75</v>
      </c>
      <c r="F41" s="354"/>
      <c r="G41" s="350">
        <v>44</v>
      </c>
      <c r="H41" s="337">
        <f t="shared" si="10"/>
        <v>3300</v>
      </c>
      <c r="I41" s="354"/>
      <c r="J41" s="350">
        <v>28</v>
      </c>
      <c r="K41" s="337">
        <f t="shared" si="11"/>
        <v>2100</v>
      </c>
      <c r="M41" s="350"/>
      <c r="N41" s="337">
        <f t="shared" si="12"/>
        <v>0</v>
      </c>
    </row>
    <row r="42" spans="2:14">
      <c r="D42" s="352" t="s">
        <v>592</v>
      </c>
      <c r="E42" s="337">
        <v>125</v>
      </c>
      <c r="F42" s="354"/>
      <c r="G42" s="350">
        <v>22</v>
      </c>
      <c r="H42" s="337">
        <f t="shared" si="10"/>
        <v>2750</v>
      </c>
      <c r="I42" s="354"/>
      <c r="J42" s="350">
        <v>22</v>
      </c>
      <c r="K42" s="337">
        <f t="shared" si="11"/>
        <v>2750</v>
      </c>
      <c r="M42" s="350"/>
      <c r="N42" s="337">
        <f t="shared" si="12"/>
        <v>0</v>
      </c>
    </row>
    <row r="43" spans="2:14">
      <c r="D43" s="352" t="s">
        <v>593</v>
      </c>
      <c r="E43" s="337">
        <v>60</v>
      </c>
      <c r="F43" s="354"/>
      <c r="G43" s="350">
        <v>44</v>
      </c>
      <c r="H43" s="337">
        <f t="shared" si="10"/>
        <v>2640</v>
      </c>
      <c r="I43" s="354"/>
      <c r="J43" s="350">
        <v>28</v>
      </c>
      <c r="K43" s="337">
        <f t="shared" si="11"/>
        <v>1680</v>
      </c>
      <c r="M43" s="350"/>
      <c r="N43" s="337">
        <f t="shared" si="12"/>
        <v>0</v>
      </c>
    </row>
    <row r="44" spans="2:14">
      <c r="D44" s="352" t="s">
        <v>603</v>
      </c>
      <c r="E44" s="337">
        <v>50</v>
      </c>
      <c r="F44" s="354"/>
      <c r="G44" s="350">
        <v>22</v>
      </c>
      <c r="H44" s="337">
        <f t="shared" si="10"/>
        <v>1100</v>
      </c>
      <c r="I44" s="354"/>
      <c r="J44" s="350">
        <v>22</v>
      </c>
      <c r="K44" s="337">
        <f t="shared" si="11"/>
        <v>1100</v>
      </c>
      <c r="M44" s="350"/>
      <c r="N44" s="337">
        <f t="shared" si="12"/>
        <v>0</v>
      </c>
    </row>
    <row r="45" spans="2:14">
      <c r="D45" s="351" t="s">
        <v>559</v>
      </c>
      <c r="E45" s="337">
        <v>328.72</v>
      </c>
      <c r="F45" s="354"/>
      <c r="G45" s="350">
        <v>0</v>
      </c>
      <c r="H45" s="337">
        <f>$E45*G45</f>
        <v>0</v>
      </c>
      <c r="I45" s="354"/>
      <c r="J45" s="350">
        <v>24</v>
      </c>
      <c r="K45" s="337">
        <f>$E45*J45</f>
        <v>7889.2800000000007</v>
      </c>
      <c r="M45" s="350">
        <v>24</v>
      </c>
      <c r="N45" s="337">
        <f>$E45*M45</f>
        <v>7889.2800000000007</v>
      </c>
    </row>
    <row r="46" spans="2:14">
      <c r="D46" s="351" t="s">
        <v>602</v>
      </c>
      <c r="E46" s="337">
        <v>1800</v>
      </c>
      <c r="F46" s="354"/>
      <c r="G46" s="350">
        <v>0</v>
      </c>
      <c r="H46" s="337">
        <f>$E46*G46</f>
        <v>0</v>
      </c>
      <c r="I46" s="354"/>
      <c r="J46" s="350">
        <v>1</v>
      </c>
      <c r="K46" s="337">
        <f>$E46*J46</f>
        <v>1800</v>
      </c>
      <c r="M46" s="350">
        <v>1</v>
      </c>
      <c r="N46" s="337">
        <f>$E46*M46</f>
        <v>1800</v>
      </c>
    </row>
    <row r="47" spans="2:14">
      <c r="F47" s="354"/>
      <c r="I47" s="354"/>
    </row>
    <row r="48" spans="2:14">
      <c r="C48" t="s">
        <v>560</v>
      </c>
      <c r="F48" s="354"/>
      <c r="I48" s="354"/>
    </row>
    <row r="49" spans="2:14">
      <c r="F49" s="354"/>
      <c r="I49" s="354"/>
    </row>
    <row r="50" spans="2:14" ht="16.5" thickBot="1">
      <c r="B50" s="367" t="s">
        <v>612</v>
      </c>
      <c r="C50" s="367"/>
      <c r="D50" s="367"/>
      <c r="E50" s="368"/>
      <c r="F50" s="369"/>
      <c r="G50" s="370"/>
      <c r="H50" s="368">
        <f>H51</f>
        <v>3500</v>
      </c>
      <c r="I50" s="369"/>
      <c r="J50" s="370"/>
      <c r="K50" s="368">
        <f>K51</f>
        <v>1750</v>
      </c>
      <c r="L50" s="368"/>
      <c r="M50" s="368"/>
      <c r="N50" s="368">
        <f>N51</f>
        <v>0</v>
      </c>
    </row>
    <row r="51" spans="2:14">
      <c r="D51" s="352" t="s">
        <v>596</v>
      </c>
      <c r="E51" s="337">
        <v>3500</v>
      </c>
      <c r="F51" s="354"/>
      <c r="G51" s="350">
        <v>1</v>
      </c>
      <c r="H51" s="337">
        <f t="shared" ref="H51" si="13">$E51*G51</f>
        <v>3500</v>
      </c>
      <c r="I51" s="354"/>
      <c r="J51" s="350">
        <v>0.5</v>
      </c>
      <c r="K51" s="337">
        <f t="shared" ref="K51" si="14">$E51*J51</f>
        <v>1750</v>
      </c>
      <c r="M51" s="350"/>
      <c r="N51" s="337">
        <f t="shared" ref="N51" si="15">$E51*M51</f>
        <v>0</v>
      </c>
    </row>
    <row r="52" spans="2:14">
      <c r="F52" s="354"/>
      <c r="I52" s="354"/>
    </row>
    <row r="53" spans="2:14" ht="16.5" thickBot="1">
      <c r="B53" s="367" t="s">
        <v>613</v>
      </c>
      <c r="C53" s="367"/>
      <c r="D53" s="367"/>
      <c r="E53" s="368"/>
      <c r="F53" s="369"/>
      <c r="G53" s="370"/>
      <c r="H53" s="368">
        <f>SUM(H54:H56)</f>
        <v>2950</v>
      </c>
      <c r="I53" s="369"/>
      <c r="J53" s="370"/>
      <c r="K53" s="368">
        <f>SUM(K54:K56)</f>
        <v>1800</v>
      </c>
      <c r="L53" s="368"/>
      <c r="M53" s="368"/>
      <c r="N53" s="368">
        <f>SUM(N54:N56)</f>
        <v>1150</v>
      </c>
    </row>
    <row r="54" spans="2:14">
      <c r="D54" s="352" t="s">
        <v>605</v>
      </c>
      <c r="E54" s="337">
        <v>400</v>
      </c>
      <c r="F54" s="354"/>
      <c r="G54" s="350">
        <v>1</v>
      </c>
      <c r="H54" s="337">
        <f>$E54*G54</f>
        <v>400</v>
      </c>
      <c r="I54" s="354"/>
      <c r="J54" s="350"/>
      <c r="K54" s="337">
        <f>$E54*J54</f>
        <v>0</v>
      </c>
      <c r="M54" s="350">
        <v>1</v>
      </c>
      <c r="N54" s="337">
        <f>$E54*M54</f>
        <v>400</v>
      </c>
    </row>
    <row r="55" spans="2:14">
      <c r="D55" s="352" t="s">
        <v>597</v>
      </c>
      <c r="E55" s="337">
        <v>750</v>
      </c>
      <c r="F55" s="354"/>
      <c r="G55" s="350">
        <v>1</v>
      </c>
      <c r="H55" s="337">
        <f t="shared" ref="H55:H56" si="16">$E55*G55</f>
        <v>750</v>
      </c>
      <c r="I55" s="354"/>
      <c r="J55" s="350"/>
      <c r="K55" s="337">
        <f t="shared" ref="K55:K56" si="17">$E55*J55</f>
        <v>0</v>
      </c>
      <c r="M55" s="350">
        <v>1</v>
      </c>
      <c r="N55" s="337">
        <f t="shared" ref="N55:N56" si="18">$E55*M55</f>
        <v>750</v>
      </c>
    </row>
    <row r="56" spans="2:14">
      <c r="D56" s="352" t="s">
        <v>598</v>
      </c>
      <c r="E56" s="337">
        <v>600</v>
      </c>
      <c r="F56" s="354"/>
      <c r="G56" s="350">
        <v>3</v>
      </c>
      <c r="H56" s="337">
        <f t="shared" si="16"/>
        <v>1800</v>
      </c>
      <c r="I56" s="354"/>
      <c r="J56" s="350">
        <v>3</v>
      </c>
      <c r="K56" s="337">
        <f t="shared" si="17"/>
        <v>1800</v>
      </c>
      <c r="M56" s="350"/>
      <c r="N56" s="337">
        <f t="shared" si="18"/>
        <v>0</v>
      </c>
    </row>
    <row r="57" spans="2:14">
      <c r="F57" s="354"/>
      <c r="I57" s="354"/>
    </row>
    <row r="58" spans="2:14" ht="16.5" thickBot="1">
      <c r="B58" s="367" t="s">
        <v>614</v>
      </c>
      <c r="C58" s="367"/>
      <c r="D58" s="367"/>
      <c r="E58" s="368"/>
      <c r="F58" s="369"/>
      <c r="G58" s="370"/>
      <c r="H58" s="368">
        <f>H59</f>
        <v>1800</v>
      </c>
      <c r="I58" s="369"/>
      <c r="J58" s="370"/>
      <c r="K58" s="368">
        <f>K59</f>
        <v>0</v>
      </c>
      <c r="L58" s="368"/>
      <c r="M58" s="368"/>
      <c r="N58" s="368">
        <f>N59</f>
        <v>1800</v>
      </c>
    </row>
    <row r="59" spans="2:14">
      <c r="D59" s="352" t="s">
        <v>599</v>
      </c>
      <c r="E59" s="337">
        <v>100</v>
      </c>
      <c r="F59" s="354"/>
      <c r="G59" s="350">
        <v>18</v>
      </c>
      <c r="H59" s="337">
        <f t="shared" ref="H59" si="19">$E59*G59</f>
        <v>1800</v>
      </c>
      <c r="I59" s="354"/>
      <c r="J59" s="350"/>
      <c r="K59" s="337">
        <f t="shared" ref="K59" si="20">$E59*J59</f>
        <v>0</v>
      </c>
      <c r="M59" s="350">
        <v>18</v>
      </c>
      <c r="N59" s="337">
        <f t="shared" ref="N59" si="21">$E59*M59</f>
        <v>1800</v>
      </c>
    </row>
    <row r="60" spans="2:14">
      <c r="F60" s="354"/>
      <c r="I60" s="354"/>
    </row>
    <row r="61" spans="2:14" ht="16.5" thickBot="1">
      <c r="B61" s="367" t="s">
        <v>617</v>
      </c>
      <c r="C61" s="367"/>
      <c r="D61" s="367"/>
      <c r="E61" s="368"/>
      <c r="F61" s="369"/>
      <c r="G61" s="370"/>
      <c r="H61" s="368">
        <f>H62</f>
        <v>15231.842502189371</v>
      </c>
      <c r="I61" s="369"/>
      <c r="J61" s="370"/>
      <c r="K61" s="368">
        <f>K62</f>
        <v>0</v>
      </c>
      <c r="L61" s="368"/>
      <c r="M61" s="368"/>
      <c r="N61" s="368">
        <f>N62</f>
        <v>30463.685004378742</v>
      </c>
    </row>
    <row r="62" spans="2:14">
      <c r="D62" s="352" t="s">
        <v>616</v>
      </c>
      <c r="E62" s="337"/>
      <c r="F62" s="354"/>
      <c r="G62" s="350"/>
      <c r="H62" s="337">
        <f>0.5*N62</f>
        <v>15231.842502189371</v>
      </c>
      <c r="I62" s="354"/>
      <c r="J62" s="350"/>
      <c r="K62" s="337">
        <f t="shared" ref="K62" si="22">$E62*J62</f>
        <v>0</v>
      </c>
      <c r="M62" s="350"/>
      <c r="N62" s="337">
        <f>SUM('PPAJr-Budget'!D65:D70,'PPAJr-Budget'!D82)+SharedStaff!C125+((SUM(SharedStaff!C127:C130)*SharedStaff!C125/(SharedStaff!C125+SharedStaff!C126)))</f>
        <v>30463.685004378742</v>
      </c>
    </row>
    <row r="63" spans="2:14">
      <c r="D63" s="353"/>
      <c r="E63" s="340"/>
      <c r="F63" s="354"/>
      <c r="G63" s="357"/>
      <c r="H63" s="340"/>
      <c r="I63" s="354"/>
      <c r="J63" s="357"/>
      <c r="K63" s="340"/>
      <c r="M63" s="357"/>
      <c r="N63" s="340"/>
    </row>
    <row r="64" spans="2:14" ht="15.75" thickBot="1">
      <c r="F64" s="354"/>
      <c r="I64" s="354"/>
    </row>
    <row r="65" spans="2:14" ht="16.5" thickBot="1">
      <c r="B65" s="371" t="s">
        <v>615</v>
      </c>
      <c r="C65" s="372"/>
      <c r="D65" s="372"/>
      <c r="E65" s="373"/>
      <c r="F65" s="374"/>
      <c r="G65" s="413">
        <f>SUM(H61,H58,H53,H50,H33,H25,H17,H8)</f>
        <v>248628.06250218936</v>
      </c>
      <c r="H65" s="414"/>
      <c r="I65" s="374"/>
      <c r="J65" s="413">
        <f>SUM(K61,K58,K53,K50,K33,K25,K17,K8)</f>
        <v>100991.42</v>
      </c>
      <c r="K65" s="414"/>
      <c r="M65" s="413">
        <f>SUM(N61,N58,N53,N50,N33,N25,N17,N8)</f>
        <v>98577.965004378741</v>
      </c>
      <c r="N65" s="414"/>
    </row>
  </sheetData>
  <sheetProtection password="DF03" sheet="1" objects="1" scenarios="1"/>
  <mergeCells count="5">
    <mergeCell ref="G2:H2"/>
    <mergeCell ref="J2:N2"/>
    <mergeCell ref="G65:H65"/>
    <mergeCell ref="J65:K65"/>
    <mergeCell ref="M65:N65"/>
  </mergeCells>
  <pageMargins left="0.5" right="0.26041666666666669" top="0.5" bottom="0.5" header="0.3" footer="0.3"/>
  <pageSetup orientation="landscape" r:id="rId1"/>
  <headerFooter>
    <oddFooter>&amp;LStart Up Costs&amp;CPinellas Preparatory Academy&amp;RPage &amp;P of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Combined</vt:lpstr>
      <vt:lpstr>FundBalances</vt:lpstr>
      <vt:lpstr>Income Estimates</vt:lpstr>
      <vt:lpstr>Purchase Building</vt:lpstr>
      <vt:lpstr>Facilities</vt:lpstr>
      <vt:lpstr>SharedStaff</vt:lpstr>
      <vt:lpstr>TotalStaffSummary</vt:lpstr>
      <vt:lpstr>BACare</vt:lpstr>
      <vt:lpstr>PPAJr-StartUp</vt:lpstr>
      <vt:lpstr>PPAJr-Staff</vt:lpstr>
      <vt:lpstr>PPAJr-General</vt:lpstr>
      <vt:lpstr>PPAJr-Budget</vt:lpstr>
      <vt:lpstr>PPA-Staff</vt:lpstr>
      <vt:lpstr>PPA-General</vt:lpstr>
      <vt:lpstr>PPA-Budget</vt:lpstr>
      <vt:lpstr>Salary Schedules</vt:lpstr>
      <vt:lpstr>Facilities!Print_Area</vt:lpstr>
      <vt:lpstr>'Purchase Building'!Print_Area</vt:lpstr>
      <vt:lpstr>'Salary Schedules'!Print_Area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Fuller</dc:creator>
  <cp:lastModifiedBy>Curtis Fuller</cp:lastModifiedBy>
  <cp:lastPrinted>2010-07-21T17:11:04Z</cp:lastPrinted>
  <dcterms:created xsi:type="dcterms:W3CDTF">2010-06-15T23:21:51Z</dcterms:created>
  <dcterms:modified xsi:type="dcterms:W3CDTF">2010-07-21T17:18:53Z</dcterms:modified>
</cp:coreProperties>
</file>